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31" windowWidth="11940" windowHeight="9465" activeTab="1"/>
  </bookViews>
  <sheets>
    <sheet name="Zał 1" sheetId="1" r:id="rId1"/>
    <sheet name="Zał 2" sheetId="2" r:id="rId2"/>
    <sheet name="Zał 3" sheetId="3" r:id="rId3"/>
    <sheet name="Zał 4" sheetId="4" r:id="rId4"/>
    <sheet name="Za 5" sheetId="5" r:id="rId5"/>
    <sheet name="Zał 6" sheetId="6" r:id="rId6"/>
    <sheet name="Zał 7" sheetId="7" r:id="rId7"/>
    <sheet name="Zał 8" sheetId="8" r:id="rId8"/>
    <sheet name="Zał 9" sheetId="9" r:id="rId9"/>
    <sheet name="Zał 10 i 11" sheetId="10" r:id="rId10"/>
    <sheet name="Zał 12 i 13" sheetId="11" r:id="rId11"/>
    <sheet name="Arkusz1" sheetId="12" r:id="rId12"/>
  </sheets>
  <externalReferences>
    <externalReference r:id="rId15"/>
    <externalReference r:id="rId16"/>
  </externalReferences>
  <definedNames>
    <definedName name="Dział">'[1]7-99'!$A:$A</definedName>
    <definedName name="Nazwa">'[1]7-99'!$D:$D</definedName>
    <definedName name="_xlnm.Print_Area" localSheetId="0">'Zał 1'!$A$1:$H$154</definedName>
    <definedName name="_xlnm.Print_Area" localSheetId="9">'Zał 10 i 11'!$A$1:$G$28</definedName>
    <definedName name="_xlnm.Print_Area" localSheetId="10">'Zał 12 i 13'!$A$1:$G$33</definedName>
    <definedName name="_xlnm.Print_Area" localSheetId="1">'Zał 2'!$A$1:$N$290</definedName>
    <definedName name="_xlnm.Print_Area" localSheetId="2">'Zał 3'!$A$1:$F$25</definedName>
    <definedName name="_xlnm.Print_Area" localSheetId="3">'Zał 4'!$A$1:$K$49</definedName>
    <definedName name="_xlnm.Print_Area" localSheetId="5">'Zał 6'!$A$1:$I$50</definedName>
    <definedName name="_xlnm.Print_Area" localSheetId="6">'Zał 7'!$A$1:$L$82</definedName>
    <definedName name="_xlnm.Print_Area" localSheetId="7">'Zał 8'!$A$1:$L$71</definedName>
    <definedName name="_xlnm.Print_Area" localSheetId="8">'Zał 9'!$A$1:$F$19</definedName>
    <definedName name="Półrocze">'[1]7-99'!$F:$F</definedName>
    <definedName name="Półroczeplan">'[1]7-99'!$F:$F</definedName>
    <definedName name="_xlnm.Print_Titles" localSheetId="0">'Zał 1'!$7:$8</definedName>
    <definedName name="_xlnm.Print_Titles" localSheetId="1">'Zał 2'!$6:$11</definedName>
    <definedName name="_xlnm.Print_Titles" localSheetId="3">'Zał 4'!$6:$10</definedName>
    <definedName name="_xlnm.Print_Titles" localSheetId="5">'Zał 6'!$7:$9</definedName>
    <definedName name="_xlnm.Print_Titles" localSheetId="6">'Zał 7'!$5:$7</definedName>
    <definedName name="_xlnm.Print_Titles" localSheetId="7">'Zał 8'!$6:$8</definedName>
  </definedNames>
  <calcPr fullCalcOnLoad="1"/>
</workbook>
</file>

<file path=xl/comments2.xml><?xml version="1.0" encoding="utf-8"?>
<comments xmlns="http://schemas.openxmlformats.org/spreadsheetml/2006/main">
  <authors>
    <author>Mirekg</author>
  </authors>
  <commentList>
    <comment ref="N281" authorId="0">
      <text>
        <r>
          <rPr>
            <b/>
            <sz val="9"/>
            <rFont val="Tahoma"/>
            <family val="2"/>
          </rPr>
          <t>na 7 od boiska w Stepnicy</t>
        </r>
      </text>
    </comment>
  </commentList>
</comments>
</file>

<file path=xl/sharedStrings.xml><?xml version="1.0" encoding="utf-8"?>
<sst xmlns="http://schemas.openxmlformats.org/spreadsheetml/2006/main" count="1651" uniqueCount="739">
  <si>
    <t>Działalność usługowa - 710</t>
  </si>
  <si>
    <t>Rybactwo- 050</t>
  </si>
  <si>
    <t>Pozostałe zadania w zakresie pomocy społecznej</t>
  </si>
  <si>
    <t>Załącznik Nr 6</t>
  </si>
  <si>
    <t>Wydatki jednostek pomocniczych</t>
  </si>
  <si>
    <t>w ramach budżetu Gminy Stepnica</t>
  </si>
  <si>
    <t>w 2010r.</t>
  </si>
  <si>
    <t>w zł</t>
  </si>
  <si>
    <t>Dział</t>
  </si>
  <si>
    <t>Rozdział</t>
  </si>
  <si>
    <t>Jednostka pomocnicza</t>
  </si>
  <si>
    <t>Plan wydatków</t>
  </si>
  <si>
    <t>z tego:</t>
  </si>
  <si>
    <t>ogółem na 2010r.</t>
  </si>
  <si>
    <t>Fundusz sołecki</t>
  </si>
  <si>
    <t>Pozostałe wydatki</t>
  </si>
  <si>
    <t>Sołectwo Budzień</t>
  </si>
  <si>
    <t>Zakup urządzeń na plac zabaw</t>
  </si>
  <si>
    <t>Ogrodzenie placu zabaw</t>
  </si>
  <si>
    <t>Sołectwo Bogusławie</t>
  </si>
  <si>
    <t>Sołectwo Widzieńsko</t>
  </si>
  <si>
    <t>Sołectwo Stepnica</t>
  </si>
  <si>
    <t>Wyposażenie placu zabaww przy przedszkolu</t>
  </si>
  <si>
    <t>Wyposażenie placu zabaww na Oś. 40-lecia PRL</t>
  </si>
  <si>
    <t>Sołectwo Stepniczka</t>
  </si>
  <si>
    <t>Budowa wiaty wypoczynkowej</t>
  </si>
  <si>
    <t>Sołectwo Miłowo</t>
  </si>
  <si>
    <t>Sołectwo Zielonczyn</t>
  </si>
  <si>
    <t>Sołectwo Żarnówko</t>
  </si>
  <si>
    <t>Sołectwo Żarnowo</t>
  </si>
  <si>
    <t>Budowa wiaty  i placu z polbruku przy boisku w Żarnowie</t>
  </si>
  <si>
    <t>Sołectwo Łąka</t>
  </si>
  <si>
    <t>Sołectwo Racimierz</t>
  </si>
  <si>
    <t xml:space="preserve">Zakup urządzeń na plac zabaw </t>
  </si>
  <si>
    <t>Sołectwo Jarszewko</t>
  </si>
  <si>
    <t>Wykonanie i zakup urządzeń na plac zabaw</t>
  </si>
  <si>
    <t>Sołectwo Piaski Małe</t>
  </si>
  <si>
    <t>Budowa pomostu drewnianego na plazy i wyposazenie terenu plaży</t>
  </si>
  <si>
    <t>Sołectwo Kopice</t>
  </si>
  <si>
    <t>Sołectwo Czarnocin</t>
  </si>
  <si>
    <t>Zakup urządzen na plac zabaw</t>
  </si>
  <si>
    <t>Ogrodzenie terenu</t>
  </si>
  <si>
    <t>Zagospodarowanie terenu ławki, alejki, boisko do siatkówki</t>
  </si>
  <si>
    <t>Sołectwo Gąsierzyno</t>
  </si>
  <si>
    <t>Chodnik od świetlicy do placu zabaw</t>
  </si>
  <si>
    <t>Ogrodzenie świetlicy</t>
  </si>
  <si>
    <t>Odsekowanie wiaty</t>
  </si>
  <si>
    <t>Razem:</t>
  </si>
  <si>
    <t>Dochody i wydatki budżetu Gminy Stepnica</t>
  </si>
  <si>
    <t>Załącznik Nr 4</t>
  </si>
  <si>
    <t>zleconych odrębnymi ustawami w 2010r.</t>
  </si>
  <si>
    <t>Nazwa</t>
  </si>
  <si>
    <t>Dotacje</t>
  </si>
  <si>
    <t>Wydatki</t>
  </si>
  <si>
    <t>Z tego:</t>
  </si>
  <si>
    <t>Wydatki 
bieżące</t>
  </si>
  <si>
    <t>w tym :</t>
  </si>
  <si>
    <t>Wydatki 
majątkowe</t>
  </si>
  <si>
    <t>wydatki jednostek budzetowych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</si>
  <si>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</si>
  <si>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</si>
  <si>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</si>
  <si>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</si>
  <si>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1</t>
  </si>
  <si>
    <t>2</t>
  </si>
  <si>
    <t>750</t>
  </si>
  <si>
    <t>Administracja publiczna</t>
  </si>
  <si>
    <t>0,00</t>
  </si>
  <si>
    <t>75011</t>
  </si>
  <si>
    <t>Urzędy wojewódzkie</t>
  </si>
  <si>
    <t>751</t>
  </si>
  <si>
    <t>Urzędy naczelnych organów władzy państwowej, kontroli i ochrony prawa oraz sądownictwa</t>
  </si>
  <si>
    <t>840,00</t>
  </si>
  <si>
    <t>75101</t>
  </si>
  <si>
    <t>Urzędy naczelnych organów władzy państwowej, kontroli i ochrony prawa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</si>
  <si>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</si>
  <si>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</si>
  <si>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</si>
  <si>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</si>
  <si>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1 769 000,00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</si>
  <si>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</si>
  <si>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</si>
  <si>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8 000,00</t>
  </si>
  <si>
    <t>Załącznik Nr 5</t>
  </si>
  <si>
    <t>w złotych</t>
  </si>
  <si>
    <t>Dotacje
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</si>
  <si>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</si>
  <si>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</si>
  <si>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</si>
  <si>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</si>
  <si>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</si>
  <si>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</si>
  <si>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i składki od nich naliczane</t>
  </si>
  <si>
    <t>Wydatki związane z realizacją zadań statutowych</t>
  </si>
  <si>
    <t>Ogółem</t>
  </si>
  <si>
    <t>związane z realizacją zadań z zakresu administracji rządowej i innych zadań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</si>
  <si>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</si>
  <si>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</si>
  <si>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</si>
  <si>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</si>
  <si>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</si>
  <si>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</si>
  <si>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</si>
  <si>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</si>
  <si>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</si>
  <si>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</si>
  <si>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</si>
  <si>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</si>
  <si>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</si>
  <si>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</si>
  <si>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</si>
  <si>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</si>
  <si>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</si>
  <si>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</si>
  <si>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</si>
  <si>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</si>
  <si>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</si>
  <si>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</si>
  <si>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</si>
  <si>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</si>
  <si>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</si>
  <si>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</si>
  <si>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</si>
  <si>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</si>
  <si>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</si>
  <si>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</si>
  <si>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</si>
  <si>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</si>
  <si>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</si>
  <si>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</si>
  <si>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</si>
  <si>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</si>
  <si>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</si>
  <si>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</si>
  <si>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</si>
  <si>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</t>
  </si>
  <si>
    <t>Przelewy z rachunku lokat</t>
  </si>
  <si>
    <t>§</t>
  </si>
  <si>
    <t>Plan na 2010 r.</t>
  </si>
  <si>
    <t>Wyszczególnienie</t>
  </si>
  <si>
    <t>I.</t>
  </si>
  <si>
    <t>x</t>
  </si>
  <si>
    <t>Stan środków obrotowych na początek roku</t>
  </si>
  <si>
    <t>II.</t>
  </si>
  <si>
    <t>Przychody</t>
  </si>
  <si>
    <t>III.</t>
  </si>
  <si>
    <t>IV.</t>
  </si>
  <si>
    <t>Stan środków obrotowych na koniec roku</t>
  </si>
  <si>
    <t>Plan przychodów i wydatków 
Gminnego Funduszu Ochrony Środowiska i Gospodarki Wodnej
Gminy Stepnica w 2010 r.</t>
  </si>
  <si>
    <t>0920</t>
  </si>
  <si>
    <t>0690</t>
  </si>
  <si>
    <t>Wpływy z różnych opłat</t>
  </si>
  <si>
    <t>Pozostałe odsetki</t>
  </si>
  <si>
    <t>Zakup materiałów i wyposażenia</t>
  </si>
  <si>
    <t>Zakup usług pozostałych</t>
  </si>
  <si>
    <t>Dotacje z funduszy celowych na finansowanie lub dofinansowanie kosztów realizacji inwestycji i zakupów inwestycyjnych jednostek sektora finansów publicznych</t>
  </si>
  <si>
    <t>Nazwa instytucji</t>
  </si>
  <si>
    <t>Załącznik Nr 9</t>
  </si>
  <si>
    <t>Dotacje podmiotowe dla jednostek sektora finansów publicznych
udzielone z budżetu GminyStepnica w 2010 r.</t>
  </si>
  <si>
    <t>921</t>
  </si>
  <si>
    <t>92109</t>
  </si>
  <si>
    <t>92116</t>
  </si>
  <si>
    <t>Gminny Ośrodek Kultury w Stepnicy</t>
  </si>
  <si>
    <t>Biblioteka Publicnza w Stepnicy</t>
  </si>
  <si>
    <t>Załącznik Nr 11</t>
  </si>
  <si>
    <r>
      <t xml:space="preserve">Nazwa zadania
</t>
    </r>
    <r>
      <rPr>
        <i/>
        <sz val="10"/>
        <rFont val="Times New Roman"/>
        <family val="1"/>
      </rPr>
      <t>(przeznaczenie dotacji)</t>
    </r>
  </si>
  <si>
    <t>Gminny Ośrodek Kultury w Stepnicy,  w tym:</t>
  </si>
  <si>
    <t>- budowa estrady plenerowej</t>
  </si>
  <si>
    <t>- modernizacja budynku "Harcówki"</t>
  </si>
  <si>
    <t>Nazwa zadania</t>
  </si>
  <si>
    <t>Załącznik Nr 12</t>
  </si>
  <si>
    <t>Dotacje celowe udzielone z budżetu Gminy Stepnica
na zadania własne gminy realizowane przez podmioty 
nienależące do sektora finansów publicznych w 2010r.</t>
  </si>
  <si>
    <t>010</t>
  </si>
  <si>
    <t>01095</t>
  </si>
  <si>
    <t>Program wspierania rolnictwa</t>
  </si>
  <si>
    <t>63003</t>
  </si>
  <si>
    <t>Turystyka i rekreacja</t>
  </si>
  <si>
    <t>80113</t>
  </si>
  <si>
    <t>Dowozy szkolne osób niepełnosprawnych</t>
  </si>
  <si>
    <t>92604</t>
  </si>
  <si>
    <t>Sport masowy</t>
  </si>
  <si>
    <t>92120</t>
  </si>
  <si>
    <t>Prace remontowe i konserwatorskie obiektów zabytkowych</t>
  </si>
  <si>
    <t>85154</t>
  </si>
  <si>
    <t>Partycypacja w kosztach Izby Wytrzeźwień w Szczecinie</t>
  </si>
  <si>
    <t>85202</t>
  </si>
  <si>
    <t>Partycypacja w kosztach Schroniska dla bezdomnych</t>
  </si>
  <si>
    <t>Dotacje celowe związane z realizacją zadań wykonywanych na podstawie porozumień (umów) między jednostkami samorządu terytorialnego a Gminą Stepnica w 2010r.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</si>
  <si>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</si>
  <si>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</si>
  <si>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</si>
  <si>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</si>
  <si>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</si>
  <si>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2010 r.</t>
  </si>
  <si>
    <t>2011 r.</t>
  </si>
  <si>
    <t>2012 r.</t>
  </si>
  <si>
    <t>po roku 2012</t>
  </si>
  <si>
    <t>Limity wydatków Gminy Stepnica</t>
  </si>
  <si>
    <t>na wieloletnie programy inwestycyjne realizowane</t>
  </si>
  <si>
    <t>w latach 2010 i kolejnych</t>
  </si>
  <si>
    <t>Załącznik Nr 7</t>
  </si>
  <si>
    <t>050</t>
  </si>
  <si>
    <t>05009</t>
  </si>
  <si>
    <t>Modernizacja i remont portu rybackiego w Stepnicy II etap</t>
  </si>
  <si>
    <t>2007-2010</t>
  </si>
  <si>
    <t>Modernizacja sieci wodociągowej i dokonczenie zwodociągowania Gminy Stepnica</t>
  </si>
  <si>
    <t>Budowa i modernizacja dróg gminnych</t>
  </si>
  <si>
    <t>2009-2011</t>
  </si>
  <si>
    <t>Dział 900   Rozdział  90011</t>
  </si>
  <si>
    <t>Budowa infrastruktury żeglarskiej w Stepnicy</t>
  </si>
  <si>
    <t>Budowa przystani w Gąsierzynie</t>
  </si>
  <si>
    <t>2009-2010</t>
  </si>
  <si>
    <t>2008-2010</t>
  </si>
  <si>
    <t>Budowa budownictwa mieszkaniowego</t>
  </si>
  <si>
    <t>2010-2012</t>
  </si>
  <si>
    <t>Termomodernizacja elewacja i dachy ZSP w Stepnicy</t>
  </si>
  <si>
    <t>Wymiana instalacji elektrycznej w ZSP w Stepnicy</t>
  </si>
  <si>
    <t>Budowa oczyszczalni scieków w Budzieńiu, Widizeńsku oraz rozbudowa sieci we wsiach gminy Stepnica</t>
  </si>
  <si>
    <t>2005-2012</t>
  </si>
  <si>
    <t>Budowa domu kultury z biblioteką w Stepnicy</t>
  </si>
  <si>
    <t>Budowa Hali Widowiskowo-Sportowej w Stepnicy</t>
  </si>
  <si>
    <t>Budowa Centrum rekracji w parku Stepnica</t>
  </si>
  <si>
    <t>Rozdz.</t>
  </si>
  <si>
    <t>Nazwa programu</t>
  </si>
  <si>
    <t>Nazwa projektu</t>
  </si>
  <si>
    <t>Lata realizacji projektu</t>
  </si>
  <si>
    <t>Wartość całkowita projektu
(w zł)</t>
  </si>
  <si>
    <t>Planowane płatności w latach w ramach projektu</t>
  </si>
  <si>
    <t>Limity wydatków GminyStepnica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 realizowane w latach 2010 i kolejnych</t>
  </si>
  <si>
    <t>PROW</t>
  </si>
  <si>
    <t>Wprowadzenie systemu E-urząd do Urzędu i jednostek podległych Gminy Stepnica</t>
  </si>
  <si>
    <t>RPO WZ</t>
  </si>
  <si>
    <t>Program Operacyjny Inowacyjna Gospodarka</t>
  </si>
  <si>
    <t>POKL</t>
  </si>
  <si>
    <t>Aktywizacja zawodowa ludności "Z bezradności do aktywności"</t>
  </si>
  <si>
    <t>2008-2013</t>
  </si>
  <si>
    <t>Przeciwdziałanie wykluczeniu cyfrowemu - Internet dla mieszkańców Gminy Stepnica</t>
  </si>
  <si>
    <t>2009-2013</t>
  </si>
  <si>
    <t>2010-2011</t>
  </si>
  <si>
    <t>Budowa domu kultury z biblioteką w Racimierzu</t>
  </si>
  <si>
    <t>Dochody bieżące</t>
  </si>
  <si>
    <t>Źródło dochodów</t>
  </si>
  <si>
    <t>Plan</t>
  </si>
  <si>
    <t>3</t>
  </si>
  <si>
    <t>4</t>
  </si>
  <si>
    <t>Rybołówstwo i rybactwo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</si>
  <si>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</si>
  <si>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</si>
  <si>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</si>
  <si>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</si>
  <si>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</si>
  <si>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</si>
  <si>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</si>
  <si>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</si>
  <si>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0470</t>
  </si>
  <si>
    <t>Wpływy z opłat za zarząd, użytkowanie i użytkowanie wieczyste nieruchomości</t>
  </si>
  <si>
    <t>0970</t>
  </si>
  <si>
    <t>Wpływy z różnych dochodów</t>
  </si>
  <si>
    <t>710</t>
  </si>
  <si>
    <t>Działalność usługowa</t>
  </si>
  <si>
    <t>0830</t>
  </si>
  <si>
    <t>Wpływy z usług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</si>
  <si>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</si>
  <si>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</si>
  <si>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</si>
  <si>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</si>
  <si>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754</t>
  </si>
  <si>
    <t>Bezpieczeństwo publiczne i ochrona przeciwpożarowa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</si>
  <si>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</si>
  <si>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</si>
  <si>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</si>
  <si>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</si>
  <si>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</si>
  <si>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</si>
  <si>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</si>
  <si>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</si>
  <si>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</si>
  <si>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</si>
  <si>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</si>
  <si>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</si>
  <si>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</si>
  <si>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</si>
  <si>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</si>
  <si>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</si>
  <si>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</si>
  <si>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</si>
  <si>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</si>
  <si>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</si>
  <si>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</si>
  <si>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Opłata od posiadania psów</t>
  </si>
  <si>
    <t>0410</t>
  </si>
  <si>
    <t>Wpływy z opłaty skarbowej</t>
  </si>
  <si>
    <t>0430</t>
  </si>
  <si>
    <t>Wpływy z opłaty targowej</t>
  </si>
  <si>
    <t>0480</t>
  </si>
  <si>
    <t>Wpływy z opłat za zezwolenia na sprzedaż alkoholu</t>
  </si>
  <si>
    <t>0500</t>
  </si>
  <si>
    <t>Podatek od czynności cywilnoprawnych</t>
  </si>
  <si>
    <t>0910</t>
  </si>
  <si>
    <t>Odsetki od nieterminowych wpłat z tytułu podatków i opłat</t>
  </si>
  <si>
    <t>758</t>
  </si>
  <si>
    <t>Różne rozliczenia</t>
  </si>
  <si>
    <t>2920</t>
  </si>
  <si>
    <t>Subwencje ogólne z budżetu państwa</t>
  </si>
  <si>
    <t>801</t>
  </si>
  <si>
    <t>Oświata i wychowanie</t>
  </si>
  <si>
    <t>851</t>
  </si>
  <si>
    <t>Ochrona zdrowia</t>
  </si>
  <si>
    <t>2030</t>
  </si>
  <si>
    <t>Dotacje celowe otrzymane z budżetu państwa na realizację własnych zadań bieżących gmin (związków gmin)</t>
  </si>
  <si>
    <t>853</t>
  </si>
  <si>
    <t>Pozostałe zadania w zakresie polityki społecznej</t>
  </si>
  <si>
    <t>2008</t>
  </si>
  <si>
    <t>Dotacje rozwojowe oraz środki na finansowanie Wspólnej Polityki Rolnej</t>
  </si>
  <si>
    <t>2009</t>
  </si>
  <si>
    <t>900</t>
  </si>
  <si>
    <t>Gospodarka komunalna i ochrona środowiska</t>
  </si>
  <si>
    <t>0400</t>
  </si>
  <si>
    <t>Wpływy z opłaty produktowej</t>
  </si>
  <si>
    <t>Kultura i ochrona dziedzictwa narodowego</t>
  </si>
  <si>
    <t>razem:</t>
  </si>
  <si>
    <t>Dochody majątkowe</t>
  </si>
  <si>
    <t>5</t>
  </si>
  <si>
    <t>6298</t>
  </si>
  <si>
    <t>Środki na dofinansowanie własnych inwestycji gmin (związków gmin), powiatów (związków powiatów), samorządów województw, pozyskane z innych źródeł</t>
  </si>
  <si>
    <t>6299</t>
  </si>
  <si>
    <t>6290</t>
  </si>
  <si>
    <t>630</t>
  </si>
  <si>
    <t>Turystyka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</si>
  <si>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</si>
  <si>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</si>
  <si>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</si>
  <si>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</si>
  <si>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</si>
  <si>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</si>
  <si>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Ogółem:</t>
  </si>
  <si>
    <t>Załacznik nr 1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</si>
  <si>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</si>
  <si>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</si>
  <si>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</si>
  <si>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</si>
  <si>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</si>
  <si>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</si>
  <si>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</si>
  <si>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</si>
  <si>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</si>
  <si>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</si>
  <si>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</si>
  <si>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</si>
  <si>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</si>
  <si>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 i łowiectwo</t>
  </si>
  <si>
    <t>01008</t>
  </si>
  <si>
    <t>Melioracje wodne</t>
  </si>
  <si>
    <t>01030</t>
  </si>
  <si>
    <t>Izby rolnicze</t>
  </si>
  <si>
    <t>Pozostała działalność</t>
  </si>
  <si>
    <t>10 000,00</t>
  </si>
  <si>
    <t>Rybołówstwo i przetwórstwo ryb</t>
  </si>
  <si>
    <t>400</t>
  </si>
  <si>
    <t>Wytwarzanie i zaopatrywanie w energię elektryczną, gaz i wodę</t>
  </si>
  <si>
    <t>20 000,00</t>
  </si>
  <si>
    <t>40002</t>
  </si>
  <si>
    <t>Dostarczanie wody</t>
  </si>
  <si>
    <t>60004</t>
  </si>
  <si>
    <t>Lokalny transport zbiorowy</t>
  </si>
  <si>
    <t>60013</t>
  </si>
  <si>
    <t>Drogi publiczne wojewódzkie</t>
  </si>
  <si>
    <t>7 000,00</t>
  </si>
  <si>
    <t>60014</t>
  </si>
  <si>
    <t>Drogi publiczne powiatowe</t>
  </si>
  <si>
    <t>60016</t>
  </si>
  <si>
    <t>Drogi publiczne gminne</t>
  </si>
  <si>
    <t>60041</t>
  </si>
  <si>
    <t>Infrastruktura portowa</t>
  </si>
  <si>
    <t>16 500,00</t>
  </si>
  <si>
    <t>15 000,00</t>
  </si>
  <si>
    <t>Zadania w zakresie upowszechniania turystyki</t>
  </si>
  <si>
    <t>30 000,00</t>
  </si>
  <si>
    <t>63095</t>
  </si>
  <si>
    <t>30 500,00</t>
  </si>
  <si>
    <t>14 000,00</t>
  </si>
  <si>
    <t>184 000,00</t>
  </si>
  <si>
    <t>2 000,00</t>
  </si>
  <si>
    <t>182 000,00</t>
  </si>
  <si>
    <t>70005</t>
  </si>
  <si>
    <t>Gospodarka gruntami i nieruchomościami</t>
  </si>
  <si>
    <t>71004</t>
  </si>
  <si>
    <t>Plany zagospodarowania przestrzennego</t>
  </si>
  <si>
    <t>600 000,00</t>
  </si>
  <si>
    <t>71035</t>
  </si>
  <si>
    <t>Cmentarze</t>
  </si>
  <si>
    <t>27 000,00</t>
  </si>
  <si>
    <t>88 100,00</t>
  </si>
  <si>
    <t>73 300,00</t>
  </si>
  <si>
    <t>14 800,00</t>
  </si>
  <si>
    <t>75022</t>
  </si>
  <si>
    <t>Rady gmin (miast i miast na prawach powiatu)</t>
  </si>
  <si>
    <t>8 300,00</t>
  </si>
  <si>
    <t>50 000,00</t>
  </si>
  <si>
    <t>75023</t>
  </si>
  <si>
    <t>Urzędy gmin (miast i miast na prawach powiatu)</t>
  </si>
  <si>
    <t>300,00</t>
  </si>
  <si>
    <t>75095</t>
  </si>
  <si>
    <t>12 000,00</t>
  </si>
  <si>
    <t>16 800,00</t>
  </si>
  <si>
    <t>383,00</t>
  </si>
  <si>
    <t>457,00</t>
  </si>
  <si>
    <t>18 000,00</t>
  </si>
  <si>
    <t>75412</t>
  </si>
  <si>
    <t>Ochotnicze straże pożarne</t>
  </si>
  <si>
    <t>162 169,00</t>
  </si>
  <si>
    <t>77 175,00</t>
  </si>
  <si>
    <t>84 994,00</t>
  </si>
  <si>
    <t>75414</t>
  </si>
  <si>
    <t>Obrona cywilna</t>
  </si>
  <si>
    <t>52 550,00</t>
  </si>
  <si>
    <t>32 000,00</t>
  </si>
  <si>
    <t>20 550,00</t>
  </si>
  <si>
    <t>75416</t>
  </si>
  <si>
    <t>Straż Miejska</t>
  </si>
  <si>
    <t>68 980,00</t>
  </si>
  <si>
    <t>53 200,00</t>
  </si>
  <si>
    <t>15 780,00</t>
  </si>
  <si>
    <t>75647</t>
  </si>
  <si>
    <t>Pobór podatków, opłat i niepodatkowych należności budżetowych</t>
  </si>
  <si>
    <t>75818</t>
  </si>
  <si>
    <t>Rezerwy ogólne i celowe</t>
  </si>
  <si>
    <t>150 000,00</t>
  </si>
  <si>
    <t>75831</t>
  </si>
  <si>
    <t>Część równoważąca subwencji ogólnej dla gmin</t>
  </si>
  <si>
    <t>1 445 132,00</t>
  </si>
  <si>
    <t>23 500,00</t>
  </si>
  <si>
    <t>80101</t>
  </si>
  <si>
    <t>Szkoły podstawowe</t>
  </si>
  <si>
    <t>2 621 156,00</t>
  </si>
  <si>
    <t>1 911 256,00</t>
  </si>
  <si>
    <t>709 900,00</t>
  </si>
  <si>
    <t>103 219,00</t>
  </si>
  <si>
    <t>80103</t>
  </si>
  <si>
    <t>Oddziały przedszkolne w szkołach podstawowych</t>
  </si>
  <si>
    <t>82 742,00</t>
  </si>
  <si>
    <t>79 108,00</t>
  </si>
  <si>
    <t>65 558,00</t>
  </si>
  <si>
    <t>13 550,00</t>
  </si>
  <si>
    <t>3 634,00</t>
  </si>
  <si>
    <t>80104</t>
  </si>
  <si>
    <t xml:space="preserve">Przedszkola </t>
  </si>
  <si>
    <t>381 175,00</t>
  </si>
  <si>
    <t>321 472,00</t>
  </si>
  <si>
    <t>59 703,00</t>
  </si>
  <si>
    <t>12 072,00</t>
  </si>
  <si>
    <t>80110</t>
  </si>
  <si>
    <t>Gimnazja</t>
  </si>
  <si>
    <t>1 301 222,00</t>
  </si>
  <si>
    <t>1 117 977,00</t>
  </si>
  <si>
    <t>183 245,00</t>
  </si>
  <si>
    <t>58 701,00</t>
  </si>
  <si>
    <t>Dowożenie uczniów do szkół</t>
  </si>
  <si>
    <t>202 063,00</t>
  </si>
  <si>
    <t>178 563,00</t>
  </si>
  <si>
    <t>48 613,00</t>
  </si>
  <si>
    <t>129 950,00</t>
  </si>
  <si>
    <t>80146</t>
  </si>
  <si>
    <t>Dokształcanie i doskonalenie nauczycieli</t>
  </si>
  <si>
    <t>23 734,00</t>
  </si>
  <si>
    <t>80195</t>
  </si>
  <si>
    <t>16 150,00</t>
  </si>
  <si>
    <t>1 000,00</t>
  </si>
  <si>
    <t>15 150,00</t>
  </si>
  <si>
    <t>8 656,00</t>
  </si>
  <si>
    <t>85121</t>
  </si>
  <si>
    <t>Lecznictwo ambulatoryjne</t>
  </si>
  <si>
    <t>270 000,00</t>
  </si>
  <si>
    <t>85153</t>
  </si>
  <si>
    <t>Zwalczanie narkomanii</t>
  </si>
  <si>
    <t>4 000,00</t>
  </si>
  <si>
    <t>Przeciwdziałanie alkoholizmowi</t>
  </si>
  <si>
    <t>60 000,00</t>
  </si>
  <si>
    <t>59 000,00</t>
  </si>
  <si>
    <t>50 344,00</t>
  </si>
  <si>
    <t>Domy pomocy społecznej</t>
  </si>
  <si>
    <t>28 000,00</t>
  </si>
  <si>
    <t>88 070,00</t>
  </si>
  <si>
    <t>82 219,00</t>
  </si>
  <si>
    <t>5 851,00</t>
  </si>
  <si>
    <t>1 680 930,00</t>
  </si>
  <si>
    <t>85214</t>
  </si>
  <si>
    <t>Zasiłki i pomoc w naturze oraz składki na ubezpieczenia emerytalne i rentowe</t>
  </si>
  <si>
    <t>153 000,00</t>
  </si>
  <si>
    <t>85215</t>
  </si>
  <si>
    <t>Dodatki mieszkaniowe</t>
  </si>
  <si>
    <t>85216</t>
  </si>
  <si>
    <t>Zasiłki stałe</t>
  </si>
  <si>
    <t>216 000,00</t>
  </si>
  <si>
    <t>85219</t>
  </si>
  <si>
    <t>Ośrodki pomocy społecznej</t>
  </si>
  <si>
    <t>254 870,00</t>
  </si>
  <si>
    <t>252 870,00</t>
  </si>
  <si>
    <t>212 690,00</t>
  </si>
  <si>
    <t>40 180,00</t>
  </si>
  <si>
    <t>85228</t>
  </si>
  <si>
    <t>Usługi opiekuńcze i specjalistyczne usługi opiekuńcze</t>
  </si>
  <si>
    <t>106 380,00</t>
  </si>
  <si>
    <t>104 880,00</t>
  </si>
  <si>
    <t>99 800,00</t>
  </si>
  <si>
    <t>5 080,00</t>
  </si>
  <si>
    <t>1 500,00</t>
  </si>
  <si>
    <t>85295</t>
  </si>
  <si>
    <t>40 000,00</t>
  </si>
  <si>
    <t>79 688,68</t>
  </si>
  <si>
    <t>413 265,92</t>
  </si>
  <si>
    <t>85395</t>
  </si>
  <si>
    <t>854</t>
  </si>
  <si>
    <t>Edukacyjna opieka wychowawcza</t>
  </si>
  <si>
    <t>84 528,00</t>
  </si>
  <si>
    <t>6 058,00</t>
  </si>
  <si>
    <t>85401</t>
  </si>
  <si>
    <t>Świetlice szkolne</t>
  </si>
  <si>
    <t>95 618,00</t>
  </si>
  <si>
    <t>89 560,00</t>
  </si>
  <si>
    <t>5 032,00</t>
  </si>
  <si>
    <t>85412</t>
  </si>
  <si>
    <t>Kolonie i obozy oraz inne formy wypoczynku dzieci i młodzieży szkolnej, a także szkolenia młodzieży</t>
  </si>
  <si>
    <t>6 000,00</t>
  </si>
  <si>
    <t>90001</t>
  </si>
  <si>
    <t>Gospodarka ściekowa i ochrona wód</t>
  </si>
  <si>
    <t>795 000,00</t>
  </si>
  <si>
    <t>90003</t>
  </si>
  <si>
    <t>Oczyszczanie miast i wsi</t>
  </si>
  <si>
    <t>76 800,00</t>
  </si>
  <si>
    <t>61 600,00</t>
  </si>
  <si>
    <t>15 200,00</t>
  </si>
  <si>
    <t>90004</t>
  </si>
  <si>
    <t>Utrzymanie zieleni w miastach i gminach</t>
  </si>
  <si>
    <t>119 000,00</t>
  </si>
  <si>
    <t>115 000,00</t>
  </si>
  <si>
    <t>90015</t>
  </si>
  <si>
    <t>Oświetlenie ulic, placów i dróg</t>
  </si>
  <si>
    <t>135 000,00</t>
  </si>
  <si>
    <t>90095</t>
  </si>
  <si>
    <t>71 000,00</t>
  </si>
  <si>
    <t>31 000,00</t>
  </si>
  <si>
    <t>422 500,00</t>
  </si>
  <si>
    <t>Domy i ośrodki kultury, świetlice i kluby</t>
  </si>
  <si>
    <t>303 900,00</t>
  </si>
  <si>
    <t>Biblioteki</t>
  </si>
  <si>
    <t>61 590,09</t>
  </si>
  <si>
    <t>Ochrona zabytków i opieka nad zabytkami</t>
  </si>
  <si>
    <t>100 000,00</t>
  </si>
  <si>
    <t>926</t>
  </si>
  <si>
    <t>Kultura fizyczna i sport</t>
  </si>
  <si>
    <t>92601</t>
  </si>
  <si>
    <t>Obiekty sportowe</t>
  </si>
  <si>
    <t>1 060 000,00</t>
  </si>
  <si>
    <t>1 040 000,00</t>
  </si>
  <si>
    <t>Instytucje kultury fizycznej</t>
  </si>
  <si>
    <t>5 000,00</t>
  </si>
  <si>
    <t>92605</t>
  </si>
  <si>
    <t>Zadania w zakresie kultury fizycznej i sportu</t>
  </si>
  <si>
    <t>34 500,00</t>
  </si>
  <si>
    <t>1 280 776,00</t>
  </si>
  <si>
    <t>3 580 000,00</t>
  </si>
  <si>
    <t>2 500,00</t>
  </si>
  <si>
    <t>72 561,91</t>
  </si>
  <si>
    <t>70 061,91</t>
  </si>
  <si>
    <t>231 000,00</t>
  </si>
  <si>
    <t>445 200,00</t>
  </si>
  <si>
    <t>1 019 700,00</t>
  </si>
  <si>
    <t>7 510 000,00</t>
  </si>
  <si>
    <t>27 099,00</t>
  </si>
  <si>
    <t>1 500 000,00</t>
  </si>
  <si>
    <t>5 230 000,00</t>
  </si>
  <si>
    <t>6 000 000,00</t>
  </si>
  <si>
    <t>145 000,00</t>
  </si>
  <si>
    <t>180 169,00</t>
  </si>
  <si>
    <t>500 000,00</t>
  </si>
  <si>
    <t>2 724 375,00</t>
  </si>
  <si>
    <t>1 416 700,00</t>
  </si>
  <si>
    <t>393 247,00</t>
  </si>
  <si>
    <t>1 359 923,00</t>
  </si>
  <si>
    <t>499 954,60</t>
  </si>
  <si>
    <t>143 485,40</t>
  </si>
  <si>
    <t>3 525 000,00</t>
  </si>
  <si>
    <t>25 000,00</t>
  </si>
  <si>
    <t>1 052 000,00</t>
  </si>
  <si>
    <t>1 745 000,00</t>
  </si>
  <si>
    <t>726 400,00</t>
  </si>
  <si>
    <t>5 000 000,00</t>
  </si>
  <si>
    <t>76 000,00</t>
  </si>
  <si>
    <t>PO RYBY 2007-2013</t>
  </si>
  <si>
    <t>Załacznik nr 2</t>
  </si>
  <si>
    <t>75075</t>
  </si>
  <si>
    <t>Promocja jednostek samorżadu terytorialnego</t>
  </si>
  <si>
    <t>Załącznik Nr 8</t>
  </si>
  <si>
    <t xml:space="preserve">Gmina Stepnica - Urząd Gminy </t>
  </si>
  <si>
    <t>Budowa kanalizacji deszczowej Os. 40-lecia PRL</t>
  </si>
  <si>
    <t>2007-2011</t>
  </si>
  <si>
    <t>Razem :</t>
  </si>
  <si>
    <t>Oświata i wychowanie - 801</t>
  </si>
  <si>
    <t>Pomoc społeczna - 852</t>
  </si>
  <si>
    <t>Administracja publiczna - 750</t>
  </si>
  <si>
    <t>w %</t>
  </si>
  <si>
    <t>Kultura i ochrona dziedzictwa narodowego - 921</t>
  </si>
  <si>
    <t>Bezpieczeństwo publiczne i ochrona przeciwpożarowa - 754</t>
  </si>
  <si>
    <t>Turystyka - 630</t>
  </si>
  <si>
    <t>Ochrona zdrowia - 821</t>
  </si>
  <si>
    <t>Kultura fizyczna i sport - 926</t>
  </si>
  <si>
    <t>Rózne rozliczenia - 758</t>
  </si>
  <si>
    <t>Gospodarka mieszkaniowa - 700</t>
  </si>
  <si>
    <t>Rolnictwo i łowiectwo - 010</t>
  </si>
  <si>
    <t>Urzędy naczelnych organów władzy państwowej , kontroli i ochrony prawa oraz sądownictwa - 751</t>
  </si>
  <si>
    <t>Edukacyjna opieka wychowawcza - 854</t>
  </si>
  <si>
    <t>Gospodarka komunalna i ochrona środowiska - 900</t>
  </si>
  <si>
    <t>Transport i łączność - 600</t>
  </si>
  <si>
    <t>Dochody od osób prawnych, od osób fizycznych i od innych jednostek nieposiadających osobowości prawnej oraz wydatki związane z ich poborem - 756</t>
  </si>
  <si>
    <t>75621</t>
  </si>
  <si>
    <t>75615</t>
  </si>
  <si>
    <t>75616</t>
  </si>
  <si>
    <t>75601</t>
  </si>
  <si>
    <t>75618</t>
  </si>
  <si>
    <t>75814</t>
  </si>
  <si>
    <t>75801</t>
  </si>
  <si>
    <t>90020</t>
  </si>
  <si>
    <t>Turnieje, gale, zawody</t>
  </si>
  <si>
    <t>Załącznik Nr 13</t>
  </si>
  <si>
    <t>Budowa placów zabaw w miejscowościach : Bogusławie, Widzieńsko, Stepnica, Miłowo, Stepniczka, Czarnocin, Budzień, Gąsierzyno, Łąka, Jarszewko, Zielończyn, Żarnówko, Racimierz i Kopice</t>
  </si>
  <si>
    <t>Gmina Stepnica - Ochotnicza Straż Pożarna</t>
  </si>
  <si>
    <t>Zakup wozów bojowych dla Ochotniczej Straży Pożarnej</t>
  </si>
  <si>
    <t>Budowa  lub modrnizacja świetlic wiejskich w Czarnocinie, Kopicach, Widzieńsku, Gąsierzynie.</t>
  </si>
  <si>
    <t>Dotacje celowe udzielone z budżetu Gminy Stepnica
na zadania własne gminy realizowane przez podmioty należące
do sektora finansów publicznych w 2010 r.</t>
  </si>
  <si>
    <t>Modernizacja kotłowni i instalacji c.o. w ZSP w Stepnicy</t>
  </si>
  <si>
    <t xml:space="preserve">związane z realizacją zadań wykonywanych na podstawiwe porozumień (umów) </t>
  </si>
  <si>
    <t>Plan po zmianach</t>
  </si>
  <si>
    <t>Wykonanie</t>
  </si>
  <si>
    <t>Rybołowstwo i lowiectwo</t>
  </si>
  <si>
    <t>0580</t>
  </si>
  <si>
    <t>Grzywny i inne kary pieniężne od osób prawnych i innych jednostek organizacyjnych</t>
  </si>
  <si>
    <t>Wpływy z różnych oplat</t>
  </si>
  <si>
    <t>75056</t>
  </si>
  <si>
    <t>2707</t>
  </si>
  <si>
    <t>2709</t>
  </si>
  <si>
    <t>Środki na dofinansowanie własnych zadań bieżących gmin (związków gmin), powiatów (związków powiatów), samorządów województw, pozyskane z innych źródeł</t>
  </si>
  <si>
    <t>75107</t>
  </si>
  <si>
    <t>75109</t>
  </si>
  <si>
    <t>0960</t>
  </si>
  <si>
    <t>Otrzymane spadki, zapisy i darowizny w postaci pieniężnej</t>
  </si>
  <si>
    <t>Wpływy z róznych dochodów</t>
  </si>
  <si>
    <t>2327</t>
  </si>
  <si>
    <t>2329</t>
  </si>
  <si>
    <t>Dotacje celowe otrzymane z powiatu na zadania bieżące realizowane na podstawie porozumień (umów) między jednostkami samorządu terytorialnego</t>
  </si>
  <si>
    <t>85415</t>
  </si>
  <si>
    <t>90002</t>
  </si>
  <si>
    <t>2440</t>
  </si>
  <si>
    <t>Dotacje otrzymane z funduszy celowych na realizację zadań bieżących jednostek sektora finansów publicznych</t>
  </si>
  <si>
    <t>90011</t>
  </si>
  <si>
    <t>6330</t>
  </si>
  <si>
    <t>Dotacje celowe otrzymane z budżetu państwa na realizację inwestycji i zakupów inwestycyjnych własnych gmin (związków gmin)</t>
  </si>
  <si>
    <t>6297</t>
  </si>
  <si>
    <t>6260</t>
  </si>
  <si>
    <t>Dotacje otrzymane z funduszy celowych na finansowanie lub dofinansowanie kosztów realizacji inwestycji i zakupów inwestycyjnych jednostek sektora finansów publicznych</t>
  </si>
  <si>
    <t>Dochody budżetu Gminy Stepnica w 2010r. w układzie plan uchwalony, plan po zmianach, wykonanie</t>
  </si>
  <si>
    <t>Wykonanie w %</t>
  </si>
  <si>
    <t>do sprawozdania absolutoryjnego</t>
  </si>
  <si>
    <t>Plan uchwalony</t>
  </si>
  <si>
    <t>Plan po zmainach</t>
  </si>
  <si>
    <t>plan, plan po zmianach i wykonanie w 2010r.</t>
  </si>
  <si>
    <t>Przychody i rozchodybudżetu Gminy Stepnica</t>
  </si>
  <si>
    <t>Dział/ Rozdział</t>
  </si>
  <si>
    <t>Spis powszechny i inne</t>
  </si>
  <si>
    <t>Wybory Prezydenta Rzeczpospolitej Polskiej</t>
  </si>
  <si>
    <t>Wybory do rad gmin, rad powiatów i sejmików województw, wybory wójtów, burmistrzów i prezydentów miast oraz referenda gminne, powiatowe i wojewódzkie</t>
  </si>
  <si>
    <t>KBW</t>
  </si>
  <si>
    <t>ZUW</t>
  </si>
  <si>
    <t>GUS</t>
  </si>
  <si>
    <t>Wydatki
ogółem
(5+11)</t>
  </si>
  <si>
    <t>między jednostkami samorządu terytorianego w 2010r. W układzie plan, plan po zmianach , wykonanie</t>
  </si>
  <si>
    <t>Gminny Ośrodek Kultury w Stepnicy programy</t>
  </si>
  <si>
    <t>Zakup wozu gaśniczego i sprzętu p.poż.</t>
  </si>
  <si>
    <t>Stowarzyszenie Szanse Bezdroży w ramach LGD Leader+ - funkcjonowanie i koszty niekwalifikowane</t>
  </si>
  <si>
    <t>Modernizacja i remont portu rybackiego w Stepnicy II etap wartość netto</t>
  </si>
  <si>
    <t>Modernizacja i remont portu rybackiego w Stepnicy III etap wartośc netto</t>
  </si>
  <si>
    <t>Przebudowa portu kolejowego w porcie morskim w Stepnicy</t>
  </si>
  <si>
    <t>Budowa dwóch wiat turystycznych na scieżce rowerowej w Widzieńsku i Bogusławiu oraz jednej na placu zabaw w Stepniczce</t>
  </si>
  <si>
    <t>2007-2012</t>
  </si>
  <si>
    <t>9.</t>
  </si>
  <si>
    <t>RPO WZ  Poddziałania 7.1.2  Infrastruktura edukacyjna</t>
  </si>
  <si>
    <t>Rozbiórka  i  dobudowa przybudówki do Gimnazjum w Stepnicy wraz z zakupem środków dydaktycznych</t>
  </si>
  <si>
    <t>2006-2010</t>
  </si>
  <si>
    <t>10.</t>
  </si>
  <si>
    <t>11.</t>
  </si>
  <si>
    <t>12.</t>
  </si>
  <si>
    <t>13.</t>
  </si>
  <si>
    <t>14.</t>
  </si>
  <si>
    <t>15.</t>
  </si>
  <si>
    <t>Edukacyjna świetlica - Gimnazjum</t>
  </si>
  <si>
    <t>„Złota Jesień w sieci" - GOK</t>
  </si>
  <si>
    <t>„Komputer narzędziem pracy – szkolenia wspierające aktywność zawodową i lokalną mieszkańców z terenu Gminy Stepnica - GOK</t>
  </si>
  <si>
    <t>„Teraz My" – szkolenia wspierające aktywność zawodową i lokalną mieszkańców z terenu Gminy Stepnica - GOK</t>
  </si>
  <si>
    <t>„Razem w przedszkolu – inicjatywa lokalna na rzecz dzieci 3-5 lat z terenu Gminy Stepnica” - ZSP Stepnica</t>
  </si>
  <si>
    <t xml:space="preserve">„Budowa oczyszczalni ścieków w Budzieniu i Widzieńsku oraz rozbudowa sieci wodno-kanalizacyjnej wsi Kopice, Czarnocin, Stepnica </t>
  </si>
  <si>
    <t>16.</t>
  </si>
  <si>
    <t>17.</t>
  </si>
  <si>
    <t>18.</t>
  </si>
  <si>
    <t>19.</t>
  </si>
  <si>
    <t>20.</t>
  </si>
  <si>
    <t>Fundusz Małych Projektów INTEREG IV A</t>
  </si>
  <si>
    <t>"Polsko-niemieckie dni sportu w Stepnicy"</t>
  </si>
  <si>
    <t>Zagospodarowanie przestrzeni publicznej przy stadionie w Racimierzu w tym : montaż 3 wiat , ułożenie kostki polbruk, zakup stołów i małej architektury parkowej</t>
  </si>
  <si>
    <t>Budowa 4 małych boisk sportowych z infrastrukturą towarzyszącą we wsiach Czarnocin, Miłowo,  Łaka i Stepniczka</t>
  </si>
  <si>
    <t>Budowa wielofunkcyjnego boiska sportowego w Stepnicy</t>
  </si>
  <si>
    <t>2010-2013</t>
  </si>
  <si>
    <t>21.</t>
  </si>
  <si>
    <t>22.</t>
  </si>
  <si>
    <t>23.</t>
  </si>
  <si>
    <t>24.</t>
  </si>
  <si>
    <t>Budowa infrastruktury rekreacyjnej i żeglarskiej w Stepnicy</t>
  </si>
  <si>
    <t>40003</t>
  </si>
  <si>
    <t>Dostarczanie energii elektrycznej</t>
  </si>
  <si>
    <t>75405</t>
  </si>
  <si>
    <t>75406</t>
  </si>
  <si>
    <t>Komendy Powiatowe Policji</t>
  </si>
  <si>
    <t>Straż Graniczna</t>
  </si>
  <si>
    <t>803</t>
  </si>
  <si>
    <t>80395</t>
  </si>
  <si>
    <t>Szkolnictwo wyższe</t>
  </si>
  <si>
    <t>Pomoc materialna dla uczniów</t>
  </si>
  <si>
    <t>Gospodarka odpadami</t>
  </si>
  <si>
    <t>Fundusz Ochrony Środowiska i Gospodarki Wodnej</t>
  </si>
  <si>
    <t>92195</t>
  </si>
  <si>
    <t>Plan                                     ____                                                  Plan po zmianach                     ____                      Wykonanie</t>
  </si>
  <si>
    <t>projekty</t>
  </si>
  <si>
    <t>wykonawstwo</t>
  </si>
  <si>
    <t>niwelacja</t>
  </si>
  <si>
    <t>jarszewko</t>
  </si>
  <si>
    <t>mapy</t>
  </si>
  <si>
    <t>ogrodzenia</t>
  </si>
  <si>
    <t>budzień, Boguslawie Kopice Łaka</t>
  </si>
  <si>
    <t>Załącznik Nr 10</t>
  </si>
  <si>
    <t>Gminne Fudnusze zlikwidowano ustawowo z dniem 01.01.2010r.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</si>
</sst>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,##0.0"/>
    <numFmt numFmtId="173" formatCode="0.0%"/>
    <numFmt numFmtId="174" formatCode="0.00;[Red]0.00"/>
    <numFmt numFmtId="175" formatCode="_-* #,##0.0\ _z_ł_-;\-* #,##0.0\ _z_ł_-;_-* &quot;-&quot;??\ _z_ł_-;_-@_-"/>
    <numFmt numFmtId="176" formatCode="_-* #,##0\ _z_ł_-;\-* #,##0\ _z_ł_-;_-* &quot;-&quot;??\ _z_ł_-;_-@_-"/>
    <numFmt numFmtId="177" formatCode="0.0"/>
    <numFmt numFmtId="178" formatCode="#,##0.000"/>
    <numFmt numFmtId="179" formatCode="#,##0.0000"/>
    <numFmt numFmtId="180" formatCode="0.000%"/>
    <numFmt numFmtId="181" formatCode="0.0000%"/>
    <numFmt numFmtId="182" formatCode="0.000"/>
    <numFmt numFmtId="183" formatCode="#,##0\ &quot;zł&quot;"/>
    <numFmt numFmtId="184" formatCode="#,##0.00\ &quot;zł&quot;"/>
    <numFmt numFmtId="185" formatCode="d\ mmm\ yy"/>
    <numFmt numFmtId="186" formatCode="#,##0.00000"/>
    <numFmt numFmtId="187" formatCode="#,##0.000000"/>
    <numFmt numFmtId="188" formatCode="#,##0.0000000"/>
    <numFmt numFmtId="189" formatCode="#,##0;[Red]#,##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d/mm"/>
    <numFmt numFmtId="194" formatCode="dd\ mmm\ yy"/>
    <numFmt numFmtId="195" formatCode="mmm/yyyy"/>
    <numFmt numFmtId="196" formatCode="d\ mmm"/>
    <numFmt numFmtId="197" formatCode="#,##0_ ;[Red]\-#,##0\ "/>
    <numFmt numFmtId="198" formatCode="[$€-2]\ #,##0.00_);[Red]\([$€-2]\ #,##0.00\)"/>
    <numFmt numFmtId="199" formatCode="[$-415]d\ mmmm\ yyyy"/>
    <numFmt numFmtId="200" formatCode="[$-415]d\ mmm;@"/>
  </numFmts>
  <fonts count="7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0.25"/>
      <color indexed="8"/>
      <name val="Arial CE"/>
      <family val="0"/>
    </font>
    <font>
      <sz val="7.35"/>
      <color indexed="8"/>
      <name val="Arial CE"/>
      <family val="0"/>
    </font>
    <font>
      <b/>
      <sz val="9"/>
      <name val="Tahoma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4.2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7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 quotePrefix="1">
      <alignment horizontal="center" vertical="center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Fill="1" applyBorder="1" applyAlignment="1" quotePrefix="1">
      <alignment wrapText="1"/>
    </xf>
    <xf numFmtId="0" fontId="5" fillId="0" borderId="12" xfId="0" applyFont="1" applyFill="1" applyBorder="1" applyAlignment="1" quotePrefix="1">
      <alignment horizontal="center"/>
    </xf>
    <xf numFmtId="49" fontId="5" fillId="0" borderId="12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" fontId="5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10" fontId="5" fillId="0" borderId="12" xfId="5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10" fontId="5" fillId="0" borderId="0" xfId="54" applyNumberFormat="1" applyFont="1" applyAlignment="1">
      <alignment horizontal="right"/>
    </xf>
    <xf numFmtId="4" fontId="5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0" fontId="5" fillId="0" borderId="0" xfId="54" applyNumberFormat="1" applyFont="1" applyAlignment="1">
      <alignment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4" fontId="9" fillId="10" borderId="14" xfId="0" applyNumberFormat="1" applyFont="1" applyFill="1" applyBorder="1" applyAlignment="1" applyProtection="1">
      <alignment horizontal="right" vertical="center" wrapText="1"/>
      <protection/>
    </xf>
    <xf numFmtId="4" fontId="9" fillId="10" borderId="3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4" fontId="9" fillId="10" borderId="35" xfId="0" applyNumberFormat="1" applyFont="1" applyFill="1" applyBorder="1" applyAlignment="1" applyProtection="1">
      <alignment horizontal="right" vertical="center" wrapText="1"/>
      <protection/>
    </xf>
    <xf numFmtId="4" fontId="9" fillId="0" borderId="35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9" fillId="0" borderId="25" xfId="0" applyNumberFormat="1" applyFont="1" applyFill="1" applyBorder="1" applyAlignment="1" applyProtection="1">
      <alignment horizontal="right" vertical="center" wrapText="1"/>
      <protection/>
    </xf>
    <xf numFmtId="4" fontId="9" fillId="0" borderId="26" xfId="0" applyNumberFormat="1" applyFont="1" applyFill="1" applyBorder="1" applyAlignment="1" applyProtection="1">
      <alignment horizontal="right" vertical="center" wrapText="1"/>
      <protection/>
    </xf>
    <xf numFmtId="0" fontId="10" fillId="10" borderId="12" xfId="0" applyFont="1" applyFill="1" applyBorder="1" applyAlignment="1">
      <alignment horizontal="center"/>
    </xf>
    <xf numFmtId="4" fontId="9" fillId="10" borderId="12" xfId="0" applyNumberFormat="1" applyFont="1" applyFill="1" applyBorder="1" applyAlignment="1" applyProtection="1">
      <alignment horizontal="right" vertical="center" wrapText="1"/>
      <protection/>
    </xf>
    <xf numFmtId="4" fontId="11" fillId="10" borderId="14" xfId="0" applyNumberFormat="1" applyFont="1" applyFill="1" applyBorder="1" applyAlignment="1" applyProtection="1">
      <alignment horizontal="right" vertical="center" wrapText="1"/>
      <protection/>
    </xf>
    <xf numFmtId="4" fontId="11" fillId="10" borderId="12" xfId="0" applyNumberFormat="1" applyFont="1" applyFill="1" applyBorder="1" applyAlignment="1" applyProtection="1">
      <alignment horizontal="right" vertical="center" wrapText="1"/>
      <protection/>
    </xf>
    <xf numFmtId="4" fontId="11" fillId="10" borderId="35" xfId="0" applyNumberFormat="1" applyFont="1" applyFill="1" applyBorder="1" applyAlignment="1" applyProtection="1">
      <alignment horizontal="right" vertical="center" wrapText="1"/>
      <protection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Font="1" applyBorder="1" applyAlignment="1">
      <alignment horizontal="center"/>
    </xf>
    <xf numFmtId="4" fontId="9" fillId="0" borderId="36" xfId="0" applyNumberFormat="1" applyFont="1" applyFill="1" applyBorder="1" applyAlignment="1" applyProtection="1">
      <alignment horizontal="right" vertical="center" wrapText="1"/>
      <protection/>
    </xf>
    <xf numFmtId="4" fontId="9" fillId="0" borderId="23" xfId="0" applyNumberFormat="1" applyFont="1" applyFill="1" applyBorder="1" applyAlignment="1" applyProtection="1">
      <alignment horizontal="right" vertical="center" wrapText="1"/>
      <protection/>
    </xf>
    <xf numFmtId="0" fontId="9" fillId="0" borderId="37" xfId="0" applyNumberFormat="1" applyFont="1" applyFill="1" applyBorder="1" applyAlignment="1" applyProtection="1">
      <alignment horizontal="left" vertical="center" wrapText="1"/>
      <protection/>
    </xf>
    <xf numFmtId="4" fontId="9" fillId="0" borderId="38" xfId="0" applyNumberFormat="1" applyFont="1" applyFill="1" applyBorder="1" applyAlignment="1" applyProtection="1">
      <alignment horizontal="right" vertical="center" wrapText="1"/>
      <protection/>
    </xf>
    <xf numFmtId="4" fontId="9" fillId="0" borderId="37" xfId="0" applyNumberFormat="1" applyFont="1" applyFill="1" applyBorder="1" applyAlignment="1" applyProtection="1">
      <alignment horizontal="right" vertical="center" wrapText="1"/>
      <protection/>
    </xf>
    <xf numFmtId="4" fontId="9" fillId="0" borderId="32" xfId="0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12" xfId="54" applyNumberFormat="1" applyFont="1" applyFill="1" applyBorder="1" applyAlignment="1" applyProtection="1">
      <alignment horizontal="center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12" xfId="54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0" fontId="11" fillId="0" borderId="34" xfId="54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1" fillId="0" borderId="12" xfId="54" applyNumberFormat="1" applyFont="1" applyFill="1" applyBorder="1" applyAlignment="1" applyProtection="1">
      <alignment horizontal="center" vertical="center"/>
      <protection locked="0"/>
    </xf>
    <xf numFmtId="10" fontId="9" fillId="0" borderId="10" xfId="54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4" fontId="30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 horizontal="right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23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0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12" xfId="0" applyFont="1" applyBorder="1" applyAlignment="1">
      <alignment horizontal="center"/>
    </xf>
    <xf numFmtId="4" fontId="31" fillId="0" borderId="12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top" wrapText="1"/>
    </xf>
    <xf numFmtId="4" fontId="13" fillId="0" borderId="12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9" fontId="21" fillId="0" borderId="1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21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10" borderId="44" xfId="0" applyFont="1" applyFill="1" applyBorder="1" applyAlignment="1">
      <alignment/>
    </xf>
    <xf numFmtId="0" fontId="32" fillId="10" borderId="26" xfId="0" applyFont="1" applyFill="1" applyBorder="1" applyAlignment="1">
      <alignment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6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58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10" borderId="25" xfId="0" applyNumberFormat="1" applyFont="1" applyFill="1" applyBorder="1" applyAlignment="1" applyProtection="1">
      <alignment horizontal="center" vertical="center" wrapText="1"/>
      <protection/>
    </xf>
    <xf numFmtId="0" fontId="9" fillId="10" borderId="44" xfId="0" applyNumberFormat="1" applyFont="1" applyFill="1" applyBorder="1" applyAlignment="1" applyProtection="1">
      <alignment horizontal="center" vertical="center" wrapText="1"/>
      <protection/>
    </xf>
    <xf numFmtId="0" fontId="9" fillId="1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59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NumberFormat="1" applyFont="1" applyFill="1" applyBorder="1" applyAlignment="1" applyProtection="1">
      <alignment horizontal="center" vertical="center" wrapText="1"/>
      <protection/>
    </xf>
    <xf numFmtId="0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10" borderId="24" xfId="0" applyNumberFormat="1" applyFont="1" applyFill="1" applyBorder="1" applyAlignment="1" applyProtection="1">
      <alignment horizontal="center" vertical="center" wrapText="1"/>
      <protection/>
    </xf>
    <xf numFmtId="0" fontId="9" fillId="10" borderId="18" xfId="0" applyNumberFormat="1" applyFont="1" applyFill="1" applyBorder="1" applyAlignment="1" applyProtection="1">
      <alignment horizontal="center" vertical="center" wrapText="1"/>
      <protection/>
    </xf>
    <xf numFmtId="0" fontId="9" fillId="1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10" borderId="25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9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2" xfId="0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9" fillId="0" borderId="11" xfId="0" applyFont="1" applyBorder="1" applyAlignment="1">
      <alignment wrapText="1"/>
    </xf>
    <xf numFmtId="0" fontId="29" fillId="0" borderId="34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34" xfId="0" applyFont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</a:rPr>
              <a:t>Wydatki według działów 2010 r.</a:t>
            </a:r>
          </a:p>
        </c:rich>
      </c:tx>
      <c:layout>
        <c:manualLayout>
          <c:xMode val="factor"/>
          <c:yMode val="factor"/>
          <c:x val="-0.00925"/>
          <c:y val="-0.00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1055"/>
          <c:w val="0.457"/>
          <c:h val="0.2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'[2]Arkusz1'!$B$2:$B$22</c:f>
              <c:strCache>
                <c:ptCount val="21"/>
                <c:pt idx="0">
                  <c:v>Urzędy naczelnych organów władzy państwowej , kontroli i ochrony prawa oraz sądownictwa - 751</c:v>
                </c:pt>
                <c:pt idx="1">
                  <c:v>Dochody od osób prawnych, od osób fizycznych i od innych jednostek nieposiadających osobowości prawnej oraz wydatki związane z ich poborem - 756</c:v>
                </c:pt>
                <c:pt idx="2">
                  <c:v>Kultura fizyczna i sport - 926</c:v>
                </c:pt>
                <c:pt idx="3">
                  <c:v>Rolnictwo i łowiectwo - 010</c:v>
                </c:pt>
                <c:pt idx="4">
                  <c:v>Rózne rozliczenia - 758</c:v>
                </c:pt>
                <c:pt idx="5">
                  <c:v>Edukacyjna opieka wychowawcza - 854</c:v>
                </c:pt>
                <c:pt idx="6">
                  <c:v>Wytwarzanie i zaopatrywanie w energię elektryczną, gaz i wodę</c:v>
                </c:pt>
                <c:pt idx="7">
                  <c:v>Działalność usługowa - 710</c:v>
                </c:pt>
                <c:pt idx="8">
                  <c:v>Ochrona zdrowia - 821</c:v>
                </c:pt>
                <c:pt idx="9">
                  <c:v>Obsługa długu publicznego - 757</c:v>
                </c:pt>
                <c:pt idx="10">
                  <c:v>Bezpieczeństwo publiczne i ochrona przeciwpożarowa - 754</c:v>
                </c:pt>
                <c:pt idx="11">
                  <c:v>Gospodarka mieszkaniowa - 700</c:v>
                </c:pt>
                <c:pt idx="12">
                  <c:v>Kultura i ochrona dziedzictwa narodowego - 921</c:v>
                </c:pt>
                <c:pt idx="13">
                  <c:v>Pozostałe zadania w zakresie pomocy społecznej</c:v>
                </c:pt>
                <c:pt idx="14">
                  <c:v>Transport i łączność - 600</c:v>
                </c:pt>
                <c:pt idx="15">
                  <c:v>Rybactwo- 050</c:v>
                </c:pt>
                <c:pt idx="16">
                  <c:v>Administracja publiczna - 750</c:v>
                </c:pt>
                <c:pt idx="17">
                  <c:v>Gospodarka komunalna i ochrona środowiska - 900</c:v>
                </c:pt>
                <c:pt idx="18">
                  <c:v>Pomoc społeczna - 852</c:v>
                </c:pt>
                <c:pt idx="19">
                  <c:v>Turystyka - 630</c:v>
                </c:pt>
                <c:pt idx="20">
                  <c:v>Oświata i wychowanie - 801</c:v>
                </c:pt>
              </c:strCache>
            </c:strRef>
          </c:cat>
          <c:val>
            <c:numRef>
              <c:f>'[2]Arkusz1'!$C$2:$C$22</c:f>
              <c:numCache>
                <c:ptCount val="21"/>
                <c:pt idx="0">
                  <c:v>840</c:v>
                </c:pt>
                <c:pt idx="1">
                  <c:v>14000</c:v>
                </c:pt>
                <c:pt idx="2">
                  <c:v>6039000</c:v>
                </c:pt>
                <c:pt idx="3">
                  <c:v>37500</c:v>
                </c:pt>
                <c:pt idx="4">
                  <c:v>1545132</c:v>
                </c:pt>
                <c:pt idx="5">
                  <c:v>101618</c:v>
                </c:pt>
                <c:pt idx="6">
                  <c:v>3600000</c:v>
                </c:pt>
                <c:pt idx="7">
                  <c:v>627000</c:v>
                </c:pt>
                <c:pt idx="8">
                  <c:v>374000</c:v>
                </c:pt>
                <c:pt idx="9">
                  <c:v>50000</c:v>
                </c:pt>
                <c:pt idx="10">
                  <c:v>1308899</c:v>
                </c:pt>
                <c:pt idx="11">
                  <c:v>6184000</c:v>
                </c:pt>
                <c:pt idx="12">
                  <c:v>2503500.02</c:v>
                </c:pt>
                <c:pt idx="13">
                  <c:v>724440</c:v>
                </c:pt>
                <c:pt idx="14">
                  <c:v>16596400</c:v>
                </c:pt>
                <c:pt idx="15">
                  <c:v>1450692</c:v>
                </c:pt>
                <c:pt idx="16">
                  <c:v>2721800</c:v>
                </c:pt>
                <c:pt idx="17">
                  <c:v>4776800</c:v>
                </c:pt>
                <c:pt idx="18">
                  <c:v>3121050</c:v>
                </c:pt>
                <c:pt idx="19">
                  <c:v>5260500</c:v>
                </c:pt>
                <c:pt idx="20">
                  <c:v>6232767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347"/>
          <c:w val="0.93"/>
          <c:h val="0.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7</xdr:col>
      <xdr:colOff>123825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85725" y="4238625"/>
        <a:ext cx="73056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99%20zmiany%20i%20realizac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zik\Moje%20dokumenty\2010\Budz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99"/>
      <sheetName val="9-99"/>
      <sheetName val="Arkusz1"/>
      <sheetName val="Zał1 08"/>
      <sheetName val="Zał 2 08"/>
      <sheetName val="Zał 3 08"/>
      <sheetName val="Zał 4 08"/>
      <sheetName val="Zał 5 08"/>
      <sheetName val="Zał 6 08"/>
      <sheetName val="Zał 7 08"/>
      <sheetName val="Zał 8 9 10   08"/>
      <sheetName val="Zał 11 "/>
      <sheetName val="Zał 12 08"/>
      <sheetName val="wykresy"/>
    </sheetNames>
    <sheetDataSet>
      <sheetData sheetId="2">
        <row r="2">
          <cell r="B2" t="str">
            <v>Urzędy naczelnych organów władzy państwowej , kontroli i ochrony prawa oraz sądownictwa - 751</v>
          </cell>
          <cell r="C2">
            <v>840</v>
          </cell>
        </row>
        <row r="3">
          <cell r="B3" t="str">
            <v>Dochody od osób prawnych, od osób fizycznych i od innych jednostek nieposiadających osobowości prawnej oraz wydatki związane z ich poborem - 756</v>
          </cell>
          <cell r="C3">
            <v>14000</v>
          </cell>
        </row>
        <row r="4">
          <cell r="B4" t="str">
            <v>Kultura fizyczna i sport - 926</v>
          </cell>
          <cell r="C4">
            <v>6039000</v>
          </cell>
        </row>
        <row r="5">
          <cell r="B5" t="str">
            <v>Rolnictwo i łowiectwo - 010</v>
          </cell>
          <cell r="C5">
            <v>37500</v>
          </cell>
        </row>
        <row r="6">
          <cell r="B6" t="str">
            <v>Rózne rozliczenia - 758</v>
          </cell>
          <cell r="C6">
            <v>1545132</v>
          </cell>
        </row>
        <row r="7">
          <cell r="B7" t="str">
            <v>Edukacyjna opieka wychowawcza - 854</v>
          </cell>
          <cell r="C7">
            <v>101618</v>
          </cell>
        </row>
        <row r="8">
          <cell r="B8" t="str">
            <v>Wytwarzanie i zaopatrywanie w energię elektryczną, gaz i wodę</v>
          </cell>
          <cell r="C8">
            <v>3600000</v>
          </cell>
        </row>
        <row r="9">
          <cell r="B9" t="str">
            <v>Działalność usługowa - 710</v>
          </cell>
          <cell r="C9">
            <v>627000</v>
          </cell>
        </row>
        <row r="10">
          <cell r="B10" t="str">
            <v>Ochrona zdrowia - 821</v>
          </cell>
          <cell r="C10">
            <v>374000</v>
          </cell>
        </row>
        <row r="11">
          <cell r="B11" t="str">
            <v>Obsługa długu publicznego - 757</v>
          </cell>
          <cell r="C11">
            <v>50000</v>
          </cell>
        </row>
        <row r="12">
          <cell r="B12" t="str">
            <v>Bezpieczeństwo publiczne i ochrona przeciwpożarowa - 754</v>
          </cell>
          <cell r="C12">
            <v>1308899</v>
          </cell>
        </row>
        <row r="13">
          <cell r="B13" t="str">
            <v>Gospodarka mieszkaniowa - 700</v>
          </cell>
          <cell r="C13">
            <v>6184000</v>
          </cell>
        </row>
        <row r="14">
          <cell r="B14" t="str">
            <v>Kultura i ochrona dziedzictwa narodowego - 921</v>
          </cell>
          <cell r="C14">
            <v>2503500.02</v>
          </cell>
        </row>
        <row r="15">
          <cell r="B15" t="str">
            <v>Pozostałe zadania w zakresie pomocy społecznej</v>
          </cell>
          <cell r="C15">
            <v>724440</v>
          </cell>
        </row>
        <row r="16">
          <cell r="B16" t="str">
            <v>Transport i łączność - 600</v>
          </cell>
          <cell r="C16">
            <v>16596400</v>
          </cell>
        </row>
        <row r="17">
          <cell r="B17" t="str">
            <v>Rybactwo- 050</v>
          </cell>
          <cell r="C17">
            <v>1450692</v>
          </cell>
        </row>
        <row r="18">
          <cell r="B18" t="str">
            <v>Administracja publiczna - 750</v>
          </cell>
          <cell r="C18">
            <v>2721800</v>
          </cell>
        </row>
        <row r="19">
          <cell r="B19" t="str">
            <v>Gospodarka komunalna i ochrona środowiska - 900</v>
          </cell>
          <cell r="C19">
            <v>4776800</v>
          </cell>
        </row>
        <row r="20">
          <cell r="B20" t="str">
            <v>Pomoc społeczna - 852</v>
          </cell>
          <cell r="C20">
            <v>3121050</v>
          </cell>
        </row>
        <row r="21">
          <cell r="B21" t="str">
            <v>Turystyka - 630</v>
          </cell>
          <cell r="C21">
            <v>5260500</v>
          </cell>
        </row>
        <row r="22">
          <cell r="B22" t="str">
            <v>Oświata i wychowanie - 801</v>
          </cell>
          <cell r="C22">
            <v>6232767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12">
      <selection activeCell="D119" sqref="D119"/>
    </sheetView>
  </sheetViews>
  <sheetFormatPr defaultColWidth="9.140625" defaultRowHeight="12.75"/>
  <cols>
    <col min="1" max="1" width="7.00390625" style="100" customWidth="1"/>
    <col min="2" max="2" width="8.57421875" style="100" customWidth="1"/>
    <col min="3" max="3" width="6.00390625" style="101" customWidth="1"/>
    <col min="4" max="4" width="74.7109375" style="101" customWidth="1"/>
    <col min="5" max="5" width="14.00390625" style="103" customWidth="1"/>
    <col min="6" max="6" width="14.8515625" style="103" customWidth="1"/>
    <col min="7" max="7" width="16.00390625" style="103" customWidth="1"/>
    <col min="8" max="8" width="10.57421875" style="101" customWidth="1"/>
    <col min="9" max="9" width="9.140625" style="101" customWidth="1"/>
    <col min="10" max="10" width="9.7109375" style="101" bestFit="1" customWidth="1"/>
    <col min="11" max="16384" width="9.140625" style="101" customWidth="1"/>
  </cols>
  <sheetData>
    <row r="1" ht="12.75">
      <c r="H1" s="102" t="s">
        <v>336</v>
      </c>
    </row>
    <row r="2" ht="12.75">
      <c r="H2" s="102" t="s">
        <v>662</v>
      </c>
    </row>
    <row r="3" spans="1:5" ht="12.75">
      <c r="A3" s="101"/>
      <c r="B3" s="101"/>
      <c r="E3" s="101"/>
    </row>
    <row r="4" spans="1:5" ht="18.75">
      <c r="A4" s="145" t="s">
        <v>660</v>
      </c>
      <c r="B4" s="145"/>
      <c r="C4" s="145"/>
      <c r="D4" s="145"/>
      <c r="E4" s="145"/>
    </row>
    <row r="5" spans="1:7" ht="12.75">
      <c r="A5" s="281" t="s">
        <v>7</v>
      </c>
      <c r="B5" s="281"/>
      <c r="C5" s="281"/>
      <c r="D5" s="281"/>
      <c r="E5" s="281"/>
      <c r="F5" s="281"/>
      <c r="G5" s="281"/>
    </row>
    <row r="6" spans="1:8" ht="14.25" customHeight="1">
      <c r="A6" s="270" t="s">
        <v>240</v>
      </c>
      <c r="B6" s="270"/>
      <c r="C6" s="270"/>
      <c r="D6" s="270"/>
      <c r="E6" s="270"/>
      <c r="F6" s="270"/>
      <c r="G6" s="270"/>
      <c r="H6" s="270"/>
    </row>
    <row r="7" spans="1:8" ht="25.5">
      <c r="A7" s="207" t="s">
        <v>8</v>
      </c>
      <c r="B7" s="207" t="s">
        <v>9</v>
      </c>
      <c r="C7" s="207" t="s">
        <v>137</v>
      </c>
      <c r="D7" s="207" t="s">
        <v>241</v>
      </c>
      <c r="E7" s="146" t="s">
        <v>242</v>
      </c>
      <c r="F7" s="146" t="s">
        <v>632</v>
      </c>
      <c r="G7" s="146" t="s">
        <v>633</v>
      </c>
      <c r="H7" s="146" t="s">
        <v>661</v>
      </c>
    </row>
    <row r="8" spans="1:8" ht="12.75">
      <c r="A8" s="143" t="s">
        <v>63</v>
      </c>
      <c r="B8" s="143" t="s">
        <v>64</v>
      </c>
      <c r="C8" s="143" t="s">
        <v>243</v>
      </c>
      <c r="D8" s="143" t="s">
        <v>244</v>
      </c>
      <c r="E8" s="143" t="s">
        <v>322</v>
      </c>
      <c r="F8" s="143" t="s">
        <v>341</v>
      </c>
      <c r="G8" s="143" t="s">
        <v>342</v>
      </c>
      <c r="H8" s="143" t="s">
        <v>343</v>
      </c>
    </row>
    <row r="9" spans="1:8" ht="15.75">
      <c r="A9" s="205" t="s">
        <v>172</v>
      </c>
      <c r="B9" s="114"/>
      <c r="C9" s="120"/>
      <c r="D9" s="121" t="s">
        <v>634</v>
      </c>
      <c r="E9" s="184">
        <f>E10</f>
        <v>0</v>
      </c>
      <c r="F9" s="184">
        <f>F10</f>
        <v>160509.67</v>
      </c>
      <c r="G9" s="185">
        <f>G10</f>
        <v>160509.67</v>
      </c>
      <c r="H9" s="206">
        <f>G9/F9</f>
        <v>1</v>
      </c>
    </row>
    <row r="10" spans="1:8" ht="33.75" customHeight="1">
      <c r="A10" s="111"/>
      <c r="B10" s="144" t="s">
        <v>173</v>
      </c>
      <c r="C10" s="112" t="s">
        <v>262</v>
      </c>
      <c r="D10" s="113" t="s">
        <v>263</v>
      </c>
      <c r="E10" s="193">
        <v>0</v>
      </c>
      <c r="F10" s="193">
        <v>160509.67</v>
      </c>
      <c r="G10" s="194">
        <v>160509.67</v>
      </c>
      <c r="H10" s="189">
        <f aca="true" t="shared" si="0" ref="H10:H73">G10/F10</f>
        <v>1</v>
      </c>
    </row>
    <row r="11" spans="1:8" ht="15.75">
      <c r="A11" s="108" t="s">
        <v>201</v>
      </c>
      <c r="B11" s="108"/>
      <c r="C11" s="109"/>
      <c r="D11" s="110" t="s">
        <v>245</v>
      </c>
      <c r="E11" s="195">
        <f>SUM(E12:E13)</f>
        <v>21960</v>
      </c>
      <c r="F11" s="195">
        <f>SUM(F12:F13)</f>
        <v>25775.99</v>
      </c>
      <c r="G11" s="196">
        <f>SUM(G12:G13)</f>
        <v>25775.99</v>
      </c>
      <c r="H11" s="186">
        <f t="shared" si="0"/>
        <v>1</v>
      </c>
    </row>
    <row r="12" spans="1:8" ht="38.25">
      <c r="A12" s="106"/>
      <c r="B12" s="107" t="s">
        <v>202</v>
      </c>
      <c r="C12" s="107" t="s">
        <v>246</v>
      </c>
      <c r="D12" s="105" t="s">
        <v>247</v>
      </c>
      <c r="E12" s="197">
        <v>21960</v>
      </c>
      <c r="F12" s="197">
        <v>24275.99</v>
      </c>
      <c r="G12" s="198">
        <v>24275.99</v>
      </c>
      <c r="H12" s="189">
        <f t="shared" si="0"/>
        <v>1</v>
      </c>
    </row>
    <row r="13" spans="1:8" ht="15.75">
      <c r="A13" s="106"/>
      <c r="B13" s="107" t="s">
        <v>384</v>
      </c>
      <c r="C13" s="107" t="s">
        <v>256</v>
      </c>
      <c r="D13" s="105" t="s">
        <v>257</v>
      </c>
      <c r="E13" s="187">
        <v>0</v>
      </c>
      <c r="F13" s="187">
        <v>1500</v>
      </c>
      <c r="G13" s="188">
        <v>1500</v>
      </c>
      <c r="H13" s="189">
        <f t="shared" si="0"/>
        <v>1</v>
      </c>
    </row>
    <row r="14" spans="1:8" ht="15.75">
      <c r="A14" s="108" t="s">
        <v>248</v>
      </c>
      <c r="B14" s="107"/>
      <c r="C14" s="109"/>
      <c r="D14" s="110" t="s">
        <v>249</v>
      </c>
      <c r="E14" s="190">
        <f>SUM(E15:E20)</f>
        <v>92000</v>
      </c>
      <c r="F14" s="190">
        <f>SUM(F15:F20)</f>
        <v>68169.86</v>
      </c>
      <c r="G14" s="191">
        <f>SUM(G15:G20)</f>
        <v>68866.89</v>
      </c>
      <c r="H14" s="186">
        <f t="shared" si="0"/>
        <v>1.0102248999777907</v>
      </c>
    </row>
    <row r="15" spans="1:8" ht="15.75">
      <c r="A15" s="106"/>
      <c r="B15" s="107" t="s">
        <v>363</v>
      </c>
      <c r="C15" s="107" t="s">
        <v>260</v>
      </c>
      <c r="D15" s="105" t="s">
        <v>261</v>
      </c>
      <c r="E15" s="187">
        <v>0</v>
      </c>
      <c r="F15" s="187">
        <v>488</v>
      </c>
      <c r="G15" s="188">
        <v>488</v>
      </c>
      <c r="H15" s="189">
        <f t="shared" si="0"/>
        <v>1</v>
      </c>
    </row>
    <row r="16" spans="1:8" ht="15.75">
      <c r="A16" s="106"/>
      <c r="B16" s="107" t="s">
        <v>365</v>
      </c>
      <c r="C16" s="107" t="s">
        <v>260</v>
      </c>
      <c r="D16" s="105" t="s">
        <v>261</v>
      </c>
      <c r="E16" s="187">
        <v>0</v>
      </c>
      <c r="F16" s="187">
        <v>24949</v>
      </c>
      <c r="G16" s="188">
        <v>25708</v>
      </c>
      <c r="H16" s="189">
        <f t="shared" si="0"/>
        <v>1.030422061004449</v>
      </c>
    </row>
    <row r="17" spans="1:8" ht="25.5">
      <c r="A17" s="106"/>
      <c r="B17" s="107" t="s">
        <v>372</v>
      </c>
      <c r="C17" s="107" t="s">
        <v>250</v>
      </c>
      <c r="D17" s="105" t="s">
        <v>251</v>
      </c>
      <c r="E17" s="187">
        <v>8000</v>
      </c>
      <c r="F17" s="187">
        <v>2000</v>
      </c>
      <c r="G17" s="188">
        <v>1943.9</v>
      </c>
      <c r="H17" s="189">
        <f t="shared" si="0"/>
        <v>0.9719500000000001</v>
      </c>
    </row>
    <row r="18" spans="1:8" ht="15.75">
      <c r="A18" s="106"/>
      <c r="B18" s="107" t="s">
        <v>372</v>
      </c>
      <c r="C18" s="144" t="s">
        <v>635</v>
      </c>
      <c r="D18" s="105" t="s">
        <v>636</v>
      </c>
      <c r="E18" s="187">
        <v>0</v>
      </c>
      <c r="F18" s="187">
        <v>13120</v>
      </c>
      <c r="G18" s="188">
        <v>13120</v>
      </c>
      <c r="H18" s="189">
        <f t="shared" si="0"/>
        <v>1</v>
      </c>
    </row>
    <row r="19" spans="1:8" ht="38.25">
      <c r="A19" s="106"/>
      <c r="B19" s="107" t="s">
        <v>372</v>
      </c>
      <c r="C19" s="107" t="s">
        <v>246</v>
      </c>
      <c r="D19" s="105" t="s">
        <v>247</v>
      </c>
      <c r="E19" s="187">
        <v>80000</v>
      </c>
      <c r="F19" s="187">
        <v>27500</v>
      </c>
      <c r="G19" s="188">
        <v>27482.93</v>
      </c>
      <c r="H19" s="189">
        <f t="shared" si="0"/>
        <v>0.9993792727272728</v>
      </c>
    </row>
    <row r="20" spans="1:8" ht="15.75">
      <c r="A20" s="106"/>
      <c r="B20" s="107" t="s">
        <v>372</v>
      </c>
      <c r="C20" s="107" t="s">
        <v>149</v>
      </c>
      <c r="D20" s="105" t="s">
        <v>152</v>
      </c>
      <c r="E20" s="187">
        <v>4000</v>
      </c>
      <c r="F20" s="187">
        <v>112.86</v>
      </c>
      <c r="G20" s="188">
        <v>124.06</v>
      </c>
      <c r="H20" s="189">
        <f t="shared" si="0"/>
        <v>1.099237993974836</v>
      </c>
    </row>
    <row r="21" spans="1:8" ht="15.75">
      <c r="A21" s="108" t="s">
        <v>252</v>
      </c>
      <c r="B21" s="107"/>
      <c r="C21" s="109"/>
      <c r="D21" s="110" t="s">
        <v>253</v>
      </c>
      <c r="E21" s="190">
        <f>SUM(E22:E25)</f>
        <v>162500</v>
      </c>
      <c r="F21" s="190">
        <f>SUM(F22:F25)</f>
        <v>179510.32</v>
      </c>
      <c r="G21" s="191">
        <f>SUM(G22:G25)</f>
        <v>191840.18000000002</v>
      </c>
      <c r="H21" s="186">
        <f t="shared" si="0"/>
        <v>1.0686860788839327</v>
      </c>
    </row>
    <row r="22" spans="1:8" ht="15.75">
      <c r="A22" s="106"/>
      <c r="B22" s="107" t="s">
        <v>384</v>
      </c>
      <c r="C22" s="107" t="s">
        <v>254</v>
      </c>
      <c r="D22" s="105" t="s">
        <v>255</v>
      </c>
      <c r="E22" s="187">
        <v>10000</v>
      </c>
      <c r="F22" s="187">
        <v>15110.32</v>
      </c>
      <c r="G22" s="188">
        <v>15110.32</v>
      </c>
      <c r="H22" s="189">
        <f t="shared" si="0"/>
        <v>1</v>
      </c>
    </row>
    <row r="23" spans="1:8" ht="38.25">
      <c r="A23" s="106"/>
      <c r="B23" s="107" t="s">
        <v>384</v>
      </c>
      <c r="C23" s="107" t="s">
        <v>246</v>
      </c>
      <c r="D23" s="105" t="s">
        <v>247</v>
      </c>
      <c r="E23" s="187">
        <v>150000</v>
      </c>
      <c r="F23" s="187">
        <v>152000</v>
      </c>
      <c r="G23" s="188">
        <v>164368.85</v>
      </c>
      <c r="H23" s="189">
        <f t="shared" si="0"/>
        <v>1.0813740131578948</v>
      </c>
    </row>
    <row r="24" spans="1:8" ht="15.75">
      <c r="A24" s="106"/>
      <c r="B24" s="107" t="s">
        <v>384</v>
      </c>
      <c r="C24" s="107" t="s">
        <v>149</v>
      </c>
      <c r="D24" s="105" t="s">
        <v>152</v>
      </c>
      <c r="E24" s="187">
        <v>2000</v>
      </c>
      <c r="F24" s="187">
        <v>6400</v>
      </c>
      <c r="G24" s="188">
        <v>6460.31</v>
      </c>
      <c r="H24" s="189">
        <f t="shared" si="0"/>
        <v>1.0094234375</v>
      </c>
    </row>
    <row r="25" spans="1:8" ht="15.75">
      <c r="A25" s="106"/>
      <c r="B25" s="107" t="s">
        <v>384</v>
      </c>
      <c r="C25" s="107" t="s">
        <v>256</v>
      </c>
      <c r="D25" s="105" t="s">
        <v>257</v>
      </c>
      <c r="E25" s="187">
        <v>500</v>
      </c>
      <c r="F25" s="187">
        <v>6000</v>
      </c>
      <c r="G25" s="188">
        <v>5900.7</v>
      </c>
      <c r="H25" s="189">
        <f t="shared" si="0"/>
        <v>0.9834499999999999</v>
      </c>
    </row>
    <row r="26" spans="1:8" ht="15.75">
      <c r="A26" s="108" t="s">
        <v>258</v>
      </c>
      <c r="B26" s="107"/>
      <c r="C26" s="109"/>
      <c r="D26" s="110" t="s">
        <v>259</v>
      </c>
      <c r="E26" s="190">
        <f>SUM(E27:E29)</f>
        <v>16100</v>
      </c>
      <c r="F26" s="190">
        <f>SUM(F27:F29)</f>
        <v>16100</v>
      </c>
      <c r="G26" s="191">
        <f>SUM(G27:G29)</f>
        <v>17401.86</v>
      </c>
      <c r="H26" s="186">
        <f t="shared" si="0"/>
        <v>1.0808608695652173</v>
      </c>
    </row>
    <row r="27" spans="1:8" ht="38.25">
      <c r="A27" s="106"/>
      <c r="B27" s="107" t="s">
        <v>389</v>
      </c>
      <c r="C27" s="107" t="s">
        <v>246</v>
      </c>
      <c r="D27" s="105" t="s">
        <v>247</v>
      </c>
      <c r="E27" s="187">
        <v>8000</v>
      </c>
      <c r="F27" s="187">
        <v>8000</v>
      </c>
      <c r="G27" s="188">
        <v>8672</v>
      </c>
      <c r="H27" s="189">
        <f t="shared" si="0"/>
        <v>1.084</v>
      </c>
    </row>
    <row r="28" spans="1:8" ht="15.75">
      <c r="A28" s="106"/>
      <c r="B28" s="107" t="s">
        <v>389</v>
      </c>
      <c r="C28" s="107" t="s">
        <v>260</v>
      </c>
      <c r="D28" s="105" t="s">
        <v>261</v>
      </c>
      <c r="E28" s="187">
        <v>8000</v>
      </c>
      <c r="F28" s="187">
        <v>8000</v>
      </c>
      <c r="G28" s="188">
        <v>8665</v>
      </c>
      <c r="H28" s="189">
        <f t="shared" si="0"/>
        <v>1.083125</v>
      </c>
    </row>
    <row r="29" spans="1:8" ht="15.75">
      <c r="A29" s="106"/>
      <c r="B29" s="107" t="s">
        <v>389</v>
      </c>
      <c r="C29" s="107" t="s">
        <v>149</v>
      </c>
      <c r="D29" s="105" t="s">
        <v>152</v>
      </c>
      <c r="E29" s="187">
        <v>100</v>
      </c>
      <c r="F29" s="187">
        <v>100</v>
      </c>
      <c r="G29" s="188">
        <v>64.86</v>
      </c>
      <c r="H29" s="189">
        <f t="shared" si="0"/>
        <v>0.6486</v>
      </c>
    </row>
    <row r="30" spans="1:8" ht="15.75">
      <c r="A30" s="108" t="s">
        <v>65</v>
      </c>
      <c r="B30" s="107"/>
      <c r="C30" s="109"/>
      <c r="D30" s="110" t="s">
        <v>66</v>
      </c>
      <c r="E30" s="190">
        <f>SUM(E31:E38)</f>
        <v>69000</v>
      </c>
      <c r="F30" s="190">
        <f>SUM(F31:F38)</f>
        <v>150207.78</v>
      </c>
      <c r="G30" s="191">
        <f>SUM(G31:G38)</f>
        <v>82920.33</v>
      </c>
      <c r="H30" s="186">
        <f t="shared" si="0"/>
        <v>0.5520375176305782</v>
      </c>
    </row>
    <row r="31" spans="1:8" ht="33" customHeight="1">
      <c r="A31" s="106"/>
      <c r="B31" s="107" t="s">
        <v>68</v>
      </c>
      <c r="C31" s="107" t="s">
        <v>262</v>
      </c>
      <c r="D31" s="105" t="s">
        <v>263</v>
      </c>
      <c r="E31" s="187">
        <v>67800</v>
      </c>
      <c r="F31" s="187">
        <v>72800</v>
      </c>
      <c r="G31" s="188">
        <v>72800</v>
      </c>
      <c r="H31" s="189">
        <f t="shared" si="0"/>
        <v>1</v>
      </c>
    </row>
    <row r="32" spans="1:8" ht="25.5">
      <c r="A32" s="106"/>
      <c r="B32" s="107" t="s">
        <v>68</v>
      </c>
      <c r="C32" s="107" t="s">
        <v>264</v>
      </c>
      <c r="D32" s="105" t="s">
        <v>265</v>
      </c>
      <c r="E32" s="187">
        <v>600</v>
      </c>
      <c r="F32" s="187">
        <v>4.65</v>
      </c>
      <c r="G32" s="188">
        <v>6.2</v>
      </c>
      <c r="H32" s="189">
        <f t="shared" si="0"/>
        <v>1.3333333333333333</v>
      </c>
    </row>
    <row r="33" spans="1:8" ht="15.75">
      <c r="A33" s="106"/>
      <c r="B33" s="107" t="s">
        <v>399</v>
      </c>
      <c r="C33" s="107" t="s">
        <v>150</v>
      </c>
      <c r="D33" s="105" t="s">
        <v>637</v>
      </c>
      <c r="E33" s="187">
        <v>0</v>
      </c>
      <c r="F33" s="187">
        <v>28.28</v>
      </c>
      <c r="G33" s="188">
        <v>28.28</v>
      </c>
      <c r="H33" s="189">
        <f t="shared" si="0"/>
        <v>1</v>
      </c>
    </row>
    <row r="34" spans="1:8" ht="15.75">
      <c r="A34" s="106"/>
      <c r="B34" s="107" t="s">
        <v>399</v>
      </c>
      <c r="C34" s="107" t="s">
        <v>260</v>
      </c>
      <c r="D34" s="105" t="s">
        <v>261</v>
      </c>
      <c r="E34" s="187">
        <v>100</v>
      </c>
      <c r="F34" s="187">
        <v>200</v>
      </c>
      <c r="G34" s="188">
        <v>150</v>
      </c>
      <c r="H34" s="189">
        <f t="shared" si="0"/>
        <v>0.75</v>
      </c>
    </row>
    <row r="35" spans="1:8" ht="15.75">
      <c r="A35" s="106"/>
      <c r="B35" s="107" t="s">
        <v>399</v>
      </c>
      <c r="C35" s="107" t="s">
        <v>256</v>
      </c>
      <c r="D35" s="105" t="s">
        <v>257</v>
      </c>
      <c r="E35" s="187">
        <v>500</v>
      </c>
      <c r="F35" s="187">
        <v>1001.85</v>
      </c>
      <c r="G35" s="188">
        <v>1001.85</v>
      </c>
      <c r="H35" s="189">
        <f t="shared" si="0"/>
        <v>1</v>
      </c>
    </row>
    <row r="36" spans="1:8" ht="30.75" customHeight="1">
      <c r="A36" s="106"/>
      <c r="B36" s="107" t="s">
        <v>638</v>
      </c>
      <c r="C36" s="107" t="s">
        <v>262</v>
      </c>
      <c r="D36" s="105" t="s">
        <v>263</v>
      </c>
      <c r="E36" s="187">
        <v>0</v>
      </c>
      <c r="F36" s="187">
        <v>8934</v>
      </c>
      <c r="G36" s="188">
        <v>8934</v>
      </c>
      <c r="H36" s="189">
        <f t="shared" si="0"/>
        <v>1</v>
      </c>
    </row>
    <row r="37" spans="1:8" ht="30.75" customHeight="1">
      <c r="A37" s="106"/>
      <c r="B37" s="107" t="s">
        <v>402</v>
      </c>
      <c r="C37" s="107" t="s">
        <v>639</v>
      </c>
      <c r="D37" s="105" t="s">
        <v>641</v>
      </c>
      <c r="E37" s="187">
        <v>0</v>
      </c>
      <c r="F37" s="187">
        <v>3636</v>
      </c>
      <c r="G37" s="188">
        <v>0</v>
      </c>
      <c r="H37" s="189">
        <f t="shared" si="0"/>
        <v>0</v>
      </c>
    </row>
    <row r="38" spans="1:8" ht="35.25" customHeight="1">
      <c r="A38" s="106"/>
      <c r="B38" s="107" t="s">
        <v>402</v>
      </c>
      <c r="C38" s="107" t="s">
        <v>640</v>
      </c>
      <c r="D38" s="105" t="s">
        <v>641</v>
      </c>
      <c r="E38" s="187">
        <v>0</v>
      </c>
      <c r="F38" s="187">
        <v>63603</v>
      </c>
      <c r="G38" s="188">
        <v>0</v>
      </c>
      <c r="H38" s="189">
        <f t="shared" si="0"/>
        <v>0</v>
      </c>
    </row>
    <row r="39" spans="1:8" ht="15.75">
      <c r="A39" s="108" t="s">
        <v>70</v>
      </c>
      <c r="B39" s="107"/>
      <c r="C39" s="109"/>
      <c r="D39" s="110" t="s">
        <v>71</v>
      </c>
      <c r="E39" s="190">
        <f>SUM(E40:E42)</f>
        <v>840</v>
      </c>
      <c r="F39" s="190">
        <f>SUM(F40:F42)</f>
        <v>31386</v>
      </c>
      <c r="G39" s="191">
        <f>SUM(G40:G42)</f>
        <v>22040</v>
      </c>
      <c r="H39" s="186">
        <f t="shared" si="0"/>
        <v>0.7022239214936596</v>
      </c>
    </row>
    <row r="40" spans="1:8" ht="33" customHeight="1">
      <c r="A40" s="111"/>
      <c r="B40" s="107" t="s">
        <v>73</v>
      </c>
      <c r="C40" s="112" t="s">
        <v>262</v>
      </c>
      <c r="D40" s="113" t="s">
        <v>263</v>
      </c>
      <c r="E40" s="193">
        <v>840</v>
      </c>
      <c r="F40" s="193">
        <v>840</v>
      </c>
      <c r="G40" s="194">
        <v>840</v>
      </c>
      <c r="H40" s="189">
        <f t="shared" si="0"/>
        <v>1</v>
      </c>
    </row>
    <row r="41" spans="1:8" ht="28.5" customHeight="1">
      <c r="A41" s="111"/>
      <c r="B41" s="107" t="s">
        <v>642</v>
      </c>
      <c r="C41" s="112" t="s">
        <v>262</v>
      </c>
      <c r="D41" s="113" t="s">
        <v>263</v>
      </c>
      <c r="E41" s="193">
        <v>0</v>
      </c>
      <c r="F41" s="193">
        <v>10660</v>
      </c>
      <c r="G41" s="194">
        <v>10525</v>
      </c>
      <c r="H41" s="189">
        <f t="shared" si="0"/>
        <v>0.9873358348968105</v>
      </c>
    </row>
    <row r="42" spans="1:8" ht="30.75" customHeight="1">
      <c r="A42" s="111"/>
      <c r="B42" s="107" t="s">
        <v>643</v>
      </c>
      <c r="C42" s="112" t="s">
        <v>262</v>
      </c>
      <c r="D42" s="113" t="s">
        <v>263</v>
      </c>
      <c r="E42" s="193">
        <v>0</v>
      </c>
      <c r="F42" s="193">
        <v>19886</v>
      </c>
      <c r="G42" s="194">
        <v>10675</v>
      </c>
      <c r="H42" s="189">
        <f t="shared" si="0"/>
        <v>0.5368098159509203</v>
      </c>
    </row>
    <row r="43" spans="1:8" ht="15.75">
      <c r="A43" s="122" t="s">
        <v>266</v>
      </c>
      <c r="B43" s="107"/>
      <c r="C43" s="123"/>
      <c r="D43" s="124" t="s">
        <v>267</v>
      </c>
      <c r="E43" s="199">
        <f>SUM(E44:E46)</f>
        <v>11000</v>
      </c>
      <c r="F43" s="199">
        <f>SUM(F44:F46)</f>
        <v>12440</v>
      </c>
      <c r="G43" s="200">
        <f>SUM(G44:G46)</f>
        <v>15470</v>
      </c>
      <c r="H43" s="186">
        <f t="shared" si="0"/>
        <v>1.2435691318327975</v>
      </c>
    </row>
    <row r="44" spans="1:8" ht="15.75">
      <c r="A44" s="125"/>
      <c r="B44" s="107" t="s">
        <v>408</v>
      </c>
      <c r="C44" s="107" t="s">
        <v>260</v>
      </c>
      <c r="D44" s="105" t="s">
        <v>261</v>
      </c>
      <c r="E44" s="201">
        <v>1000</v>
      </c>
      <c r="F44" s="201">
        <v>2440</v>
      </c>
      <c r="G44" s="188">
        <v>7320</v>
      </c>
      <c r="H44" s="189">
        <f t="shared" si="0"/>
        <v>3</v>
      </c>
    </row>
    <row r="45" spans="1:8" ht="15.75">
      <c r="A45" s="125"/>
      <c r="B45" s="107" t="s">
        <v>408</v>
      </c>
      <c r="C45" s="107" t="s">
        <v>644</v>
      </c>
      <c r="D45" s="105" t="s">
        <v>645</v>
      </c>
      <c r="E45" s="201">
        <v>0</v>
      </c>
      <c r="F45" s="201">
        <v>4000</v>
      </c>
      <c r="G45" s="188">
        <v>4000</v>
      </c>
      <c r="H45" s="189">
        <f t="shared" si="0"/>
        <v>1</v>
      </c>
    </row>
    <row r="46" spans="1:8" ht="15.75">
      <c r="A46" s="126"/>
      <c r="B46" s="107" t="s">
        <v>418</v>
      </c>
      <c r="C46" s="127" t="s">
        <v>268</v>
      </c>
      <c r="D46" s="128" t="s">
        <v>269</v>
      </c>
      <c r="E46" s="202">
        <v>10000</v>
      </c>
      <c r="F46" s="202">
        <v>6000</v>
      </c>
      <c r="G46" s="203">
        <v>4150</v>
      </c>
      <c r="H46" s="189">
        <f t="shared" si="0"/>
        <v>0.6916666666666667</v>
      </c>
    </row>
    <row r="47" spans="1:8" ht="25.5">
      <c r="A47" s="116" t="s">
        <v>270</v>
      </c>
      <c r="B47" s="107"/>
      <c r="C47" s="117"/>
      <c r="D47" s="118" t="s">
        <v>271</v>
      </c>
      <c r="E47" s="204">
        <f>SUM(E48:E70)</f>
        <v>24693148</v>
      </c>
      <c r="F47" s="204">
        <f>SUM(F48:F70)</f>
        <v>24914239.439999998</v>
      </c>
      <c r="G47" s="196">
        <f>SUM(G48:G70)</f>
        <v>24865623.309999995</v>
      </c>
      <c r="H47" s="186">
        <f t="shared" si="0"/>
        <v>0.9980486608825815</v>
      </c>
    </row>
    <row r="48" spans="1:8" ht="15.75" customHeight="1">
      <c r="A48" s="104"/>
      <c r="B48" s="107" t="s">
        <v>618</v>
      </c>
      <c r="C48" s="114" t="s">
        <v>284</v>
      </c>
      <c r="D48" s="115" t="s">
        <v>285</v>
      </c>
      <c r="E48" s="197">
        <v>1000</v>
      </c>
      <c r="F48" s="197">
        <v>2000</v>
      </c>
      <c r="G48" s="198">
        <v>2912.04</v>
      </c>
      <c r="H48" s="189">
        <f t="shared" si="0"/>
        <v>1.45602</v>
      </c>
    </row>
    <row r="49" spans="1:8" ht="15.75">
      <c r="A49" s="106"/>
      <c r="B49" s="107" t="s">
        <v>618</v>
      </c>
      <c r="C49" s="107" t="s">
        <v>298</v>
      </c>
      <c r="D49" s="105" t="s">
        <v>299</v>
      </c>
      <c r="E49" s="187">
        <v>50</v>
      </c>
      <c r="F49" s="187">
        <v>200</v>
      </c>
      <c r="G49" s="188">
        <v>181.8</v>
      </c>
      <c r="H49" s="189">
        <f t="shared" si="0"/>
        <v>0.909</v>
      </c>
    </row>
    <row r="50" spans="1:8" ht="15.75">
      <c r="A50" s="106"/>
      <c r="B50" s="107" t="s">
        <v>616</v>
      </c>
      <c r="C50" s="107" t="s">
        <v>276</v>
      </c>
      <c r="D50" s="105" t="s">
        <v>277</v>
      </c>
      <c r="E50" s="187">
        <v>13507215</v>
      </c>
      <c r="F50" s="187">
        <v>13500000</v>
      </c>
      <c r="G50" s="188">
        <v>13465996.6</v>
      </c>
      <c r="H50" s="189">
        <f t="shared" si="0"/>
        <v>0.9974812296296296</v>
      </c>
    </row>
    <row r="51" spans="1:8" ht="15.75">
      <c r="A51" s="106"/>
      <c r="B51" s="107" t="s">
        <v>616</v>
      </c>
      <c r="C51" s="107" t="s">
        <v>278</v>
      </c>
      <c r="D51" s="105" t="s">
        <v>279</v>
      </c>
      <c r="E51" s="187">
        <v>30000</v>
      </c>
      <c r="F51" s="187">
        <v>25000</v>
      </c>
      <c r="G51" s="188">
        <v>26250.6</v>
      </c>
      <c r="H51" s="189">
        <f t="shared" si="0"/>
        <v>1.0500239999999998</v>
      </c>
    </row>
    <row r="52" spans="1:8" ht="15.75">
      <c r="A52" s="106"/>
      <c r="B52" s="107" t="s">
        <v>616</v>
      </c>
      <c r="C52" s="107" t="s">
        <v>280</v>
      </c>
      <c r="D52" s="105" t="s">
        <v>281</v>
      </c>
      <c r="E52" s="187">
        <v>155000</v>
      </c>
      <c r="F52" s="187">
        <v>160000</v>
      </c>
      <c r="G52" s="188">
        <v>158554</v>
      </c>
      <c r="H52" s="189">
        <f t="shared" si="0"/>
        <v>0.9909625</v>
      </c>
    </row>
    <row r="53" spans="1:8" ht="15.75">
      <c r="A53" s="106"/>
      <c r="B53" s="107" t="s">
        <v>616</v>
      </c>
      <c r="C53" s="107" t="s">
        <v>296</v>
      </c>
      <c r="D53" s="105" t="s">
        <v>297</v>
      </c>
      <c r="E53" s="187">
        <v>40000</v>
      </c>
      <c r="F53" s="187">
        <v>60</v>
      </c>
      <c r="G53" s="188">
        <v>60</v>
      </c>
      <c r="H53" s="189">
        <f t="shared" si="0"/>
        <v>1</v>
      </c>
    </row>
    <row r="54" spans="1:8" ht="15.75">
      <c r="A54" s="106"/>
      <c r="B54" s="107" t="s">
        <v>616</v>
      </c>
      <c r="C54" s="107" t="s">
        <v>298</v>
      </c>
      <c r="D54" s="105" t="s">
        <v>299</v>
      </c>
      <c r="E54" s="187">
        <v>8661669</v>
      </c>
      <c r="F54" s="187">
        <v>8661000</v>
      </c>
      <c r="G54" s="188">
        <v>8659332.08</v>
      </c>
      <c r="H54" s="189">
        <f t="shared" si="0"/>
        <v>0.9998074217757765</v>
      </c>
    </row>
    <row r="55" spans="1:8" ht="15.75">
      <c r="A55" s="106"/>
      <c r="B55" s="107" t="s">
        <v>617</v>
      </c>
      <c r="C55" s="107" t="s">
        <v>276</v>
      </c>
      <c r="D55" s="105" t="s">
        <v>277</v>
      </c>
      <c r="E55" s="187">
        <v>470000</v>
      </c>
      <c r="F55" s="187">
        <v>470000</v>
      </c>
      <c r="G55" s="188">
        <v>509451.77</v>
      </c>
      <c r="H55" s="189">
        <f t="shared" si="0"/>
        <v>1.083939936170213</v>
      </c>
    </row>
    <row r="56" spans="1:8" ht="15.75">
      <c r="A56" s="106"/>
      <c r="B56" s="107" t="s">
        <v>617</v>
      </c>
      <c r="C56" s="107" t="s">
        <v>278</v>
      </c>
      <c r="D56" s="105" t="s">
        <v>279</v>
      </c>
      <c r="E56" s="187">
        <v>220000</v>
      </c>
      <c r="F56" s="187">
        <v>220000</v>
      </c>
      <c r="G56" s="188">
        <v>190574.16</v>
      </c>
      <c r="H56" s="189">
        <f t="shared" si="0"/>
        <v>0.8662461818181818</v>
      </c>
    </row>
    <row r="57" spans="1:8" ht="15.75">
      <c r="A57" s="106"/>
      <c r="B57" s="107" t="s">
        <v>617</v>
      </c>
      <c r="C57" s="107" t="s">
        <v>280</v>
      </c>
      <c r="D57" s="105" t="s">
        <v>281</v>
      </c>
      <c r="E57" s="187">
        <v>1000</v>
      </c>
      <c r="F57" s="187">
        <v>1000</v>
      </c>
      <c r="G57" s="188">
        <v>1018.9</v>
      </c>
      <c r="H57" s="189">
        <f t="shared" si="0"/>
        <v>1.0189</v>
      </c>
    </row>
    <row r="58" spans="1:8" ht="15.75">
      <c r="A58" s="106"/>
      <c r="B58" s="107" t="s">
        <v>617</v>
      </c>
      <c r="C58" s="107" t="s">
        <v>282</v>
      </c>
      <c r="D58" s="105" t="s">
        <v>283</v>
      </c>
      <c r="E58" s="187">
        <v>15000</v>
      </c>
      <c r="F58" s="187">
        <v>21470.74</v>
      </c>
      <c r="G58" s="188">
        <v>22515.34</v>
      </c>
      <c r="H58" s="189">
        <f t="shared" si="0"/>
        <v>1.0486522588415677</v>
      </c>
    </row>
    <row r="59" spans="1:8" ht="15.75">
      <c r="A59" s="106"/>
      <c r="B59" s="107" t="s">
        <v>617</v>
      </c>
      <c r="C59" s="107" t="s">
        <v>286</v>
      </c>
      <c r="D59" s="105" t="s">
        <v>287</v>
      </c>
      <c r="E59" s="187">
        <v>500</v>
      </c>
      <c r="F59" s="187">
        <v>8500</v>
      </c>
      <c r="G59" s="188">
        <v>10318</v>
      </c>
      <c r="H59" s="189">
        <f t="shared" si="0"/>
        <v>1.2138823529411764</v>
      </c>
    </row>
    <row r="60" spans="1:8" ht="15.75">
      <c r="A60" s="106"/>
      <c r="B60" s="107" t="s">
        <v>617</v>
      </c>
      <c r="C60" s="107" t="s">
        <v>288</v>
      </c>
      <c r="D60" s="105" t="s">
        <v>289</v>
      </c>
      <c r="E60" s="187">
        <v>10000</v>
      </c>
      <c r="F60" s="187">
        <v>10000</v>
      </c>
      <c r="G60" s="188">
        <v>9159.82</v>
      </c>
      <c r="H60" s="189">
        <f t="shared" si="0"/>
        <v>0.915982</v>
      </c>
    </row>
    <row r="61" spans="1:8" ht="15.75">
      <c r="A61" s="106"/>
      <c r="B61" s="107" t="s">
        <v>617</v>
      </c>
      <c r="C61" s="107" t="s">
        <v>292</v>
      </c>
      <c r="D61" s="105" t="s">
        <v>293</v>
      </c>
      <c r="E61" s="187">
        <v>1500</v>
      </c>
      <c r="F61" s="187">
        <v>1500</v>
      </c>
      <c r="G61" s="188">
        <v>1174.1</v>
      </c>
      <c r="H61" s="189">
        <f t="shared" si="0"/>
        <v>0.7827333333333333</v>
      </c>
    </row>
    <row r="62" spans="1:8" ht="15.75">
      <c r="A62" s="106"/>
      <c r="B62" s="107" t="s">
        <v>616</v>
      </c>
      <c r="C62" s="107" t="s">
        <v>296</v>
      </c>
      <c r="D62" s="105" t="s">
        <v>297</v>
      </c>
      <c r="E62" s="187">
        <v>0</v>
      </c>
      <c r="F62" s="187">
        <v>80000</v>
      </c>
      <c r="G62" s="188">
        <v>84314</v>
      </c>
      <c r="H62" s="189">
        <f t="shared" si="0"/>
        <v>1.053925</v>
      </c>
    </row>
    <row r="63" spans="1:8" ht="15.75">
      <c r="A63" s="106"/>
      <c r="B63" s="107" t="s">
        <v>617</v>
      </c>
      <c r="C63" s="107" t="s">
        <v>298</v>
      </c>
      <c r="D63" s="105" t="s">
        <v>299</v>
      </c>
      <c r="E63" s="187">
        <v>10000</v>
      </c>
      <c r="F63" s="187">
        <v>10000</v>
      </c>
      <c r="G63" s="188">
        <v>10850.79</v>
      </c>
      <c r="H63" s="189">
        <f t="shared" si="0"/>
        <v>1.0850790000000001</v>
      </c>
    </row>
    <row r="64" spans="1:8" ht="15.75">
      <c r="A64" s="106"/>
      <c r="B64" s="107" t="s">
        <v>619</v>
      </c>
      <c r="C64" s="107" t="s">
        <v>290</v>
      </c>
      <c r="D64" s="105" t="s">
        <v>291</v>
      </c>
      <c r="E64" s="187">
        <v>15000</v>
      </c>
      <c r="F64" s="187">
        <v>14100</v>
      </c>
      <c r="G64" s="188">
        <v>14750</v>
      </c>
      <c r="H64" s="189">
        <f t="shared" si="0"/>
        <v>1.0460992907801419</v>
      </c>
    </row>
    <row r="65" spans="1:8" ht="15.75">
      <c r="A65" s="106"/>
      <c r="B65" s="107" t="s">
        <v>619</v>
      </c>
      <c r="C65" s="107" t="s">
        <v>294</v>
      </c>
      <c r="D65" s="105" t="s">
        <v>295</v>
      </c>
      <c r="E65" s="187">
        <v>64000</v>
      </c>
      <c r="F65" s="187">
        <v>73000</v>
      </c>
      <c r="G65" s="188">
        <v>72999.48</v>
      </c>
      <c r="H65" s="189">
        <f t="shared" si="0"/>
        <v>0.9999928767123287</v>
      </c>
    </row>
    <row r="66" spans="1:8" ht="25.5">
      <c r="A66" s="106"/>
      <c r="B66" s="107" t="s">
        <v>619</v>
      </c>
      <c r="C66" s="107" t="s">
        <v>250</v>
      </c>
      <c r="D66" s="105" t="s">
        <v>251</v>
      </c>
      <c r="E66" s="187">
        <v>68000</v>
      </c>
      <c r="F66" s="187">
        <v>38000</v>
      </c>
      <c r="G66" s="188">
        <v>14764</v>
      </c>
      <c r="H66" s="189">
        <f t="shared" si="0"/>
        <v>0.38852631578947366</v>
      </c>
    </row>
    <row r="67" spans="1:8" ht="15.75">
      <c r="A67" s="106"/>
      <c r="B67" s="107" t="s">
        <v>619</v>
      </c>
      <c r="C67" s="107" t="s">
        <v>149</v>
      </c>
      <c r="D67" s="105" t="s">
        <v>152</v>
      </c>
      <c r="E67" s="187">
        <v>0</v>
      </c>
      <c r="F67" s="187">
        <v>14.81</v>
      </c>
      <c r="G67" s="188">
        <v>14.81</v>
      </c>
      <c r="H67" s="189">
        <f t="shared" si="0"/>
        <v>1</v>
      </c>
    </row>
    <row r="68" spans="1:8" ht="15.75">
      <c r="A68" s="106"/>
      <c r="B68" s="107" t="s">
        <v>615</v>
      </c>
      <c r="C68" s="107" t="s">
        <v>272</v>
      </c>
      <c r="D68" s="105" t="s">
        <v>273</v>
      </c>
      <c r="E68" s="187">
        <v>1353214</v>
      </c>
      <c r="F68" s="187">
        <v>1353214</v>
      </c>
      <c r="G68" s="188">
        <v>1324852</v>
      </c>
      <c r="H68" s="189">
        <f t="shared" si="0"/>
        <v>0.9790410090347869</v>
      </c>
    </row>
    <row r="69" spans="1:8" ht="15.75">
      <c r="A69" s="106"/>
      <c r="B69" s="107" t="s">
        <v>615</v>
      </c>
      <c r="C69" s="107" t="s">
        <v>274</v>
      </c>
      <c r="D69" s="105" t="s">
        <v>275</v>
      </c>
      <c r="E69" s="187">
        <v>70000</v>
      </c>
      <c r="F69" s="187">
        <v>265000</v>
      </c>
      <c r="G69" s="188">
        <v>285458.91</v>
      </c>
      <c r="H69" s="189">
        <f t="shared" si="0"/>
        <v>1.077203433962264</v>
      </c>
    </row>
    <row r="70" spans="1:8" ht="15.75">
      <c r="A70" s="106"/>
      <c r="B70" s="107" t="s">
        <v>423</v>
      </c>
      <c r="C70" s="144" t="s">
        <v>256</v>
      </c>
      <c r="D70" s="105" t="s">
        <v>646</v>
      </c>
      <c r="E70" s="187">
        <v>0</v>
      </c>
      <c r="F70" s="187">
        <v>179.89</v>
      </c>
      <c r="G70" s="188">
        <v>120.11</v>
      </c>
      <c r="H70" s="189">
        <f t="shared" si="0"/>
        <v>0.667685807993774</v>
      </c>
    </row>
    <row r="71" spans="1:8" ht="15.75">
      <c r="A71" s="108" t="s">
        <v>300</v>
      </c>
      <c r="B71" s="107"/>
      <c r="C71" s="109"/>
      <c r="D71" s="110" t="s">
        <v>301</v>
      </c>
      <c r="E71" s="190">
        <f>SUM(E72:E74)</f>
        <v>4494831</v>
      </c>
      <c r="F71" s="190">
        <f>SUM(F72:F74)</f>
        <v>4422719</v>
      </c>
      <c r="G71" s="191">
        <f>SUM(G72:G74)</f>
        <v>4447986.75</v>
      </c>
      <c r="H71" s="186">
        <f t="shared" si="0"/>
        <v>1.0057131710153866</v>
      </c>
    </row>
    <row r="72" spans="1:8" ht="15.75">
      <c r="A72" s="106"/>
      <c r="B72" s="107" t="s">
        <v>621</v>
      </c>
      <c r="C72" s="107" t="s">
        <v>302</v>
      </c>
      <c r="D72" s="105" t="s">
        <v>303</v>
      </c>
      <c r="E72" s="187">
        <v>3216683</v>
      </c>
      <c r="F72" s="187">
        <v>3310947</v>
      </c>
      <c r="G72" s="188">
        <v>3310947</v>
      </c>
      <c r="H72" s="189">
        <f t="shared" si="0"/>
        <v>1</v>
      </c>
    </row>
    <row r="73" spans="1:8" ht="15.75">
      <c r="A73" s="106"/>
      <c r="B73" s="107" t="s">
        <v>620</v>
      </c>
      <c r="C73" s="107" t="s">
        <v>149</v>
      </c>
      <c r="D73" s="105" t="s">
        <v>152</v>
      </c>
      <c r="E73" s="187">
        <v>1276440</v>
      </c>
      <c r="F73" s="187">
        <v>1110000</v>
      </c>
      <c r="G73" s="188">
        <v>1135267.75</v>
      </c>
      <c r="H73" s="189">
        <f t="shared" si="0"/>
        <v>1.0227637387387387</v>
      </c>
    </row>
    <row r="74" spans="1:8" ht="15.75">
      <c r="A74" s="106"/>
      <c r="B74" s="107" t="s">
        <v>428</v>
      </c>
      <c r="C74" s="107" t="s">
        <v>302</v>
      </c>
      <c r="D74" s="105" t="s">
        <v>303</v>
      </c>
      <c r="E74" s="187">
        <v>1708</v>
      </c>
      <c r="F74" s="187">
        <v>1772</v>
      </c>
      <c r="G74" s="188">
        <v>1772</v>
      </c>
      <c r="H74" s="189">
        <f aca="true" t="shared" si="1" ref="H74:H137">G74/F74</f>
        <v>1</v>
      </c>
    </row>
    <row r="75" spans="1:8" ht="15.75">
      <c r="A75" s="108" t="s">
        <v>304</v>
      </c>
      <c r="B75" s="107"/>
      <c r="C75" s="109"/>
      <c r="D75" s="110" t="s">
        <v>305</v>
      </c>
      <c r="E75" s="190">
        <f>SUM(E76:E84)</f>
        <v>65000</v>
      </c>
      <c r="F75" s="190">
        <f>SUM(F76:F84)</f>
        <v>105049</v>
      </c>
      <c r="G75" s="191">
        <f>SUM(G76:G84)</f>
        <v>129425.63999999998</v>
      </c>
      <c r="H75" s="186">
        <f t="shared" si="1"/>
        <v>1.2320501861036277</v>
      </c>
    </row>
    <row r="76" spans="1:8" ht="15.75">
      <c r="A76" s="106"/>
      <c r="B76" s="107" t="s">
        <v>432</v>
      </c>
      <c r="C76" s="107" t="s">
        <v>150</v>
      </c>
      <c r="D76" s="105" t="s">
        <v>151</v>
      </c>
      <c r="E76" s="187">
        <v>0</v>
      </c>
      <c r="F76" s="187">
        <v>44</v>
      </c>
      <c r="G76" s="188">
        <v>44</v>
      </c>
      <c r="H76" s="189">
        <f t="shared" si="1"/>
        <v>1</v>
      </c>
    </row>
    <row r="77" spans="1:8" ht="38.25">
      <c r="A77" s="106"/>
      <c r="B77" s="107" t="s">
        <v>432</v>
      </c>
      <c r="C77" s="107" t="s">
        <v>246</v>
      </c>
      <c r="D77" s="105" t="s">
        <v>247</v>
      </c>
      <c r="E77" s="187">
        <v>0</v>
      </c>
      <c r="F77" s="187">
        <v>1591</v>
      </c>
      <c r="G77" s="188">
        <v>2134.4</v>
      </c>
      <c r="H77" s="189">
        <f t="shared" si="1"/>
        <v>1.341546197360151</v>
      </c>
    </row>
    <row r="78" spans="1:8" ht="15.75">
      <c r="A78" s="106"/>
      <c r="B78" s="107" t="s">
        <v>432</v>
      </c>
      <c r="C78" s="107" t="s">
        <v>149</v>
      </c>
      <c r="D78" s="105" t="s">
        <v>152</v>
      </c>
      <c r="E78" s="187">
        <v>0</v>
      </c>
      <c r="F78" s="187">
        <v>3</v>
      </c>
      <c r="G78" s="188">
        <v>2.74</v>
      </c>
      <c r="H78" s="189">
        <f t="shared" si="1"/>
        <v>0.9133333333333334</v>
      </c>
    </row>
    <row r="79" spans="1:8" ht="15.75">
      <c r="A79" s="125"/>
      <c r="B79" s="107" t="s">
        <v>432</v>
      </c>
      <c r="C79" s="107" t="s">
        <v>644</v>
      </c>
      <c r="D79" s="105" t="s">
        <v>645</v>
      </c>
      <c r="E79" s="201">
        <v>0</v>
      </c>
      <c r="F79" s="201">
        <v>0</v>
      </c>
      <c r="G79" s="188">
        <v>1800</v>
      </c>
      <c r="H79" s="189"/>
    </row>
    <row r="80" spans="1:8" ht="15.75">
      <c r="A80" s="106"/>
      <c r="B80" s="107" t="s">
        <v>432</v>
      </c>
      <c r="C80" s="144" t="s">
        <v>256</v>
      </c>
      <c r="D80" s="105" t="s">
        <v>646</v>
      </c>
      <c r="E80" s="187">
        <v>0</v>
      </c>
      <c r="F80" s="187">
        <v>20410</v>
      </c>
      <c r="G80" s="188">
        <v>21078.6</v>
      </c>
      <c r="H80" s="189">
        <f t="shared" si="1"/>
        <v>1.0327584517393433</v>
      </c>
    </row>
    <row r="81" spans="1:8" ht="15.75">
      <c r="A81" s="106"/>
      <c r="B81" s="107" t="s">
        <v>445</v>
      </c>
      <c r="C81" s="107" t="s">
        <v>150</v>
      </c>
      <c r="D81" s="105" t="s">
        <v>151</v>
      </c>
      <c r="E81" s="187">
        <v>65000</v>
      </c>
      <c r="F81" s="187">
        <v>65000</v>
      </c>
      <c r="G81" s="188">
        <v>86640</v>
      </c>
      <c r="H81" s="189">
        <f t="shared" si="1"/>
        <v>1.3329230769230769</v>
      </c>
    </row>
    <row r="82" spans="1:8" ht="15.75">
      <c r="A82" s="106"/>
      <c r="B82" s="107" t="s">
        <v>451</v>
      </c>
      <c r="C82" s="107" t="s">
        <v>149</v>
      </c>
      <c r="D82" s="105" t="s">
        <v>152</v>
      </c>
      <c r="E82" s="187">
        <v>0</v>
      </c>
      <c r="F82" s="187">
        <v>1</v>
      </c>
      <c r="G82" s="188">
        <v>1.2</v>
      </c>
      <c r="H82" s="189">
        <f t="shared" si="1"/>
        <v>1.2</v>
      </c>
    </row>
    <row r="83" spans="1:8" ht="15.75">
      <c r="A83" s="125"/>
      <c r="B83" s="107" t="s">
        <v>451</v>
      </c>
      <c r="C83" s="107" t="s">
        <v>644</v>
      </c>
      <c r="D83" s="105" t="s">
        <v>645</v>
      </c>
      <c r="E83" s="201">
        <v>0</v>
      </c>
      <c r="F83" s="201">
        <v>3000</v>
      </c>
      <c r="G83" s="188">
        <v>3000</v>
      </c>
      <c r="H83" s="189">
        <f t="shared" si="1"/>
        <v>1</v>
      </c>
    </row>
    <row r="84" spans="1:8" ht="15.75">
      <c r="A84" s="125"/>
      <c r="B84" s="107" t="s">
        <v>177</v>
      </c>
      <c r="C84" s="107" t="s">
        <v>260</v>
      </c>
      <c r="D84" s="105" t="s">
        <v>261</v>
      </c>
      <c r="E84" s="201">
        <v>0</v>
      </c>
      <c r="F84" s="201">
        <v>15000</v>
      </c>
      <c r="G84" s="188">
        <v>14724.7</v>
      </c>
      <c r="H84" s="189">
        <f t="shared" si="1"/>
        <v>0.9816466666666667</v>
      </c>
    </row>
    <row r="85" spans="1:8" ht="15.75">
      <c r="A85" s="108" t="s">
        <v>306</v>
      </c>
      <c r="B85" s="107"/>
      <c r="C85" s="109"/>
      <c r="D85" s="110" t="s">
        <v>307</v>
      </c>
      <c r="E85" s="190">
        <f>SUM(E86:E87)</f>
        <v>20000</v>
      </c>
      <c r="F85" s="190">
        <f>SUM(F86:F87)</f>
        <v>14065.71</v>
      </c>
      <c r="G85" s="191">
        <f>SUM(G86:G87)</f>
        <v>14078.51</v>
      </c>
      <c r="H85" s="186">
        <f t="shared" si="1"/>
        <v>1.0009100144962466</v>
      </c>
    </row>
    <row r="86" spans="1:8" ht="38.25">
      <c r="A86" s="106"/>
      <c r="B86" s="107" t="s">
        <v>470</v>
      </c>
      <c r="C86" s="107" t="s">
        <v>246</v>
      </c>
      <c r="D86" s="105" t="s">
        <v>247</v>
      </c>
      <c r="E86" s="187">
        <v>20000</v>
      </c>
      <c r="F86" s="187">
        <v>14000</v>
      </c>
      <c r="G86" s="188">
        <v>14007.98</v>
      </c>
      <c r="H86" s="189">
        <f t="shared" si="1"/>
        <v>1.00057</v>
      </c>
    </row>
    <row r="87" spans="1:8" ht="15.75">
      <c r="A87" s="106"/>
      <c r="B87" s="107" t="s">
        <v>470</v>
      </c>
      <c r="C87" s="107" t="s">
        <v>149</v>
      </c>
      <c r="D87" s="105" t="s">
        <v>152</v>
      </c>
      <c r="E87" s="187">
        <v>0</v>
      </c>
      <c r="F87" s="187">
        <v>65.71</v>
      </c>
      <c r="G87" s="188">
        <v>70.53</v>
      </c>
      <c r="H87" s="189">
        <f t="shared" si="1"/>
        <v>1.0733526099528232</v>
      </c>
    </row>
    <row r="88" spans="1:8" ht="15.75">
      <c r="A88" s="108" t="s">
        <v>75</v>
      </c>
      <c r="B88" s="107"/>
      <c r="C88" s="109"/>
      <c r="D88" s="110" t="s">
        <v>76</v>
      </c>
      <c r="E88" s="190">
        <f>SUM(E89:E101)</f>
        <v>2247020</v>
      </c>
      <c r="F88" s="190">
        <f>SUM(F89:F101)</f>
        <v>2582623.6</v>
      </c>
      <c r="G88" s="191">
        <f>SUM(G89:G101)</f>
        <v>2565599.8700000006</v>
      </c>
      <c r="H88" s="186">
        <f t="shared" si="1"/>
        <v>0.9934083580743243</v>
      </c>
    </row>
    <row r="89" spans="1:8" ht="15.75">
      <c r="A89" s="106"/>
      <c r="B89" s="107" t="s">
        <v>77</v>
      </c>
      <c r="C89" s="144" t="s">
        <v>149</v>
      </c>
      <c r="D89" s="105" t="s">
        <v>152</v>
      </c>
      <c r="E89" s="187">
        <v>0</v>
      </c>
      <c r="F89" s="187">
        <v>0</v>
      </c>
      <c r="G89" s="188">
        <v>0.1</v>
      </c>
      <c r="H89" s="189"/>
    </row>
    <row r="90" spans="1:8" ht="15.75">
      <c r="A90" s="106"/>
      <c r="B90" s="107" t="s">
        <v>77</v>
      </c>
      <c r="C90" s="144" t="s">
        <v>256</v>
      </c>
      <c r="D90" s="105" t="s">
        <v>646</v>
      </c>
      <c r="E90" s="187">
        <v>0</v>
      </c>
      <c r="F90" s="187">
        <v>17.6</v>
      </c>
      <c r="G90" s="188">
        <v>17.6</v>
      </c>
      <c r="H90" s="189">
        <f t="shared" si="1"/>
        <v>1</v>
      </c>
    </row>
    <row r="91" spans="1:8" ht="25.5">
      <c r="A91" s="106"/>
      <c r="B91" s="107" t="s">
        <v>77</v>
      </c>
      <c r="C91" s="107" t="s">
        <v>262</v>
      </c>
      <c r="D91" s="105" t="s">
        <v>263</v>
      </c>
      <c r="E91" s="187">
        <v>1769000</v>
      </c>
      <c r="F91" s="187">
        <v>1954000</v>
      </c>
      <c r="G91" s="188">
        <v>1935295.37</v>
      </c>
      <c r="H91" s="189">
        <f t="shared" si="1"/>
        <v>0.9904275179119755</v>
      </c>
    </row>
    <row r="92" spans="1:8" ht="25.5">
      <c r="A92" s="106"/>
      <c r="B92" s="107" t="s">
        <v>77</v>
      </c>
      <c r="C92" s="107" t="s">
        <v>264</v>
      </c>
      <c r="D92" s="105" t="s">
        <v>265</v>
      </c>
      <c r="E92" s="187">
        <v>10000</v>
      </c>
      <c r="F92" s="187">
        <v>14200</v>
      </c>
      <c r="G92" s="188">
        <v>15543.43</v>
      </c>
      <c r="H92" s="189">
        <f t="shared" si="1"/>
        <v>1.0946077464788733</v>
      </c>
    </row>
    <row r="93" spans="1:8" ht="25.5" customHeight="1">
      <c r="A93" s="106"/>
      <c r="B93" s="107" t="s">
        <v>80</v>
      </c>
      <c r="C93" s="107" t="s">
        <v>262</v>
      </c>
      <c r="D93" s="105" t="s">
        <v>263</v>
      </c>
      <c r="E93" s="187">
        <v>8000</v>
      </c>
      <c r="F93" s="187">
        <v>13956</v>
      </c>
      <c r="G93" s="188">
        <v>12358.34</v>
      </c>
      <c r="H93" s="189">
        <f t="shared" si="1"/>
        <v>0.8855216394382345</v>
      </c>
    </row>
    <row r="94" spans="1:8" ht="25.5">
      <c r="A94" s="106"/>
      <c r="B94" s="107" t="s">
        <v>80</v>
      </c>
      <c r="C94" s="107" t="s">
        <v>308</v>
      </c>
      <c r="D94" s="105" t="s">
        <v>309</v>
      </c>
      <c r="E94" s="187">
        <v>20000</v>
      </c>
      <c r="F94" s="187">
        <v>21000</v>
      </c>
      <c r="G94" s="188">
        <v>20672.54</v>
      </c>
      <c r="H94" s="189">
        <f t="shared" si="1"/>
        <v>0.9844066666666668</v>
      </c>
    </row>
    <row r="95" spans="1:8" ht="25.5">
      <c r="A95" s="106"/>
      <c r="B95" s="107" t="s">
        <v>486</v>
      </c>
      <c r="C95" s="107" t="s">
        <v>308</v>
      </c>
      <c r="D95" s="105" t="s">
        <v>309</v>
      </c>
      <c r="E95" s="187">
        <v>113000</v>
      </c>
      <c r="F95" s="187">
        <v>89726</v>
      </c>
      <c r="G95" s="188">
        <v>89683.97</v>
      </c>
      <c r="H95" s="189">
        <f t="shared" si="1"/>
        <v>0.9995315739027707</v>
      </c>
    </row>
    <row r="96" spans="1:8" ht="25.5">
      <c r="A96" s="106"/>
      <c r="B96" s="107" t="s">
        <v>491</v>
      </c>
      <c r="C96" s="107" t="s">
        <v>308</v>
      </c>
      <c r="D96" s="105" t="s">
        <v>309</v>
      </c>
      <c r="E96" s="187">
        <v>216000</v>
      </c>
      <c r="F96" s="187">
        <v>237964</v>
      </c>
      <c r="G96" s="188">
        <v>234780.27</v>
      </c>
      <c r="H96" s="189">
        <f t="shared" si="1"/>
        <v>0.9866209594728614</v>
      </c>
    </row>
    <row r="97" spans="1:8" ht="15.75">
      <c r="A97" s="106"/>
      <c r="B97" s="107" t="s">
        <v>494</v>
      </c>
      <c r="C97" s="107" t="s">
        <v>149</v>
      </c>
      <c r="D97" s="105" t="s">
        <v>152</v>
      </c>
      <c r="E97" s="187">
        <v>0</v>
      </c>
      <c r="F97" s="187">
        <v>1100</v>
      </c>
      <c r="G97" s="188">
        <v>1564.43</v>
      </c>
      <c r="H97" s="189">
        <f t="shared" si="1"/>
        <v>1.422209090909091</v>
      </c>
    </row>
    <row r="98" spans="1:8" ht="25.5">
      <c r="A98" s="106"/>
      <c r="B98" s="107" t="s">
        <v>494</v>
      </c>
      <c r="C98" s="107" t="s">
        <v>308</v>
      </c>
      <c r="D98" s="105" t="s">
        <v>309</v>
      </c>
      <c r="E98" s="187">
        <v>101000</v>
      </c>
      <c r="F98" s="187">
        <v>111100</v>
      </c>
      <c r="G98" s="188">
        <v>111100</v>
      </c>
      <c r="H98" s="189">
        <f t="shared" si="1"/>
        <v>1</v>
      </c>
    </row>
    <row r="99" spans="1:8" ht="15.75">
      <c r="A99" s="106"/>
      <c r="B99" s="107" t="s">
        <v>500</v>
      </c>
      <c r="C99" s="107" t="s">
        <v>260</v>
      </c>
      <c r="D99" s="105" t="s">
        <v>261</v>
      </c>
      <c r="E99" s="187">
        <v>10000</v>
      </c>
      <c r="F99" s="187">
        <v>15000</v>
      </c>
      <c r="G99" s="188">
        <v>19936.12</v>
      </c>
      <c r="H99" s="189">
        <f t="shared" si="1"/>
        <v>1.3290746666666666</v>
      </c>
    </row>
    <row r="100" spans="1:8" ht="15.75">
      <c r="A100" s="106"/>
      <c r="B100" s="107" t="s">
        <v>500</v>
      </c>
      <c r="C100" s="107" t="s">
        <v>149</v>
      </c>
      <c r="D100" s="105" t="s">
        <v>152</v>
      </c>
      <c r="E100" s="187">
        <v>20</v>
      </c>
      <c r="F100" s="187">
        <v>130</v>
      </c>
      <c r="G100" s="188">
        <v>217.7</v>
      </c>
      <c r="H100" s="189">
        <f t="shared" si="1"/>
        <v>1.6746153846153846</v>
      </c>
    </row>
    <row r="101" spans="1:8" ht="25.5">
      <c r="A101" s="106"/>
      <c r="B101" s="107" t="s">
        <v>507</v>
      </c>
      <c r="C101" s="107" t="s">
        <v>308</v>
      </c>
      <c r="D101" s="105" t="s">
        <v>309</v>
      </c>
      <c r="E101" s="187">
        <v>0</v>
      </c>
      <c r="F101" s="187">
        <v>124430</v>
      </c>
      <c r="G101" s="188">
        <v>124430</v>
      </c>
      <c r="H101" s="189">
        <f t="shared" si="1"/>
        <v>1</v>
      </c>
    </row>
    <row r="102" spans="1:8" ht="15.75">
      <c r="A102" s="108" t="s">
        <v>310</v>
      </c>
      <c r="B102" s="107"/>
      <c r="C102" s="109"/>
      <c r="D102" s="110" t="s">
        <v>311</v>
      </c>
      <c r="E102" s="190">
        <f>SUM(E103:E108)</f>
        <v>595000</v>
      </c>
      <c r="F102" s="190">
        <f>SUM(F103:F108)</f>
        <v>297353.05000000005</v>
      </c>
      <c r="G102" s="191">
        <f>SUM(G103:G108)</f>
        <v>296391.29</v>
      </c>
      <c r="H102" s="186">
        <f t="shared" si="1"/>
        <v>0.9967655956446384</v>
      </c>
    </row>
    <row r="103" spans="1:8" ht="15.75">
      <c r="A103" s="106"/>
      <c r="B103" s="107" t="s">
        <v>511</v>
      </c>
      <c r="C103" s="107" t="s">
        <v>312</v>
      </c>
      <c r="D103" s="105" t="s">
        <v>313</v>
      </c>
      <c r="E103" s="187">
        <v>525000</v>
      </c>
      <c r="F103" s="187">
        <v>0</v>
      </c>
      <c r="G103" s="188">
        <v>0</v>
      </c>
      <c r="H103" s="189">
        <v>0</v>
      </c>
    </row>
    <row r="104" spans="1:8" ht="15.75">
      <c r="A104" s="106"/>
      <c r="B104" s="107" t="s">
        <v>511</v>
      </c>
      <c r="C104" s="107" t="s">
        <v>314</v>
      </c>
      <c r="D104" s="105" t="s">
        <v>313</v>
      </c>
      <c r="E104" s="187">
        <v>70000</v>
      </c>
      <c r="F104" s="187">
        <v>0</v>
      </c>
      <c r="G104" s="188">
        <v>0</v>
      </c>
      <c r="H104" s="189">
        <v>0</v>
      </c>
    </row>
    <row r="105" spans="1:8" ht="25.5" customHeight="1">
      <c r="A105" s="106"/>
      <c r="B105" s="107" t="s">
        <v>511</v>
      </c>
      <c r="C105" s="107" t="s">
        <v>647</v>
      </c>
      <c r="D105" s="105" t="s">
        <v>649</v>
      </c>
      <c r="E105" s="187">
        <v>0</v>
      </c>
      <c r="F105" s="187">
        <v>99618</v>
      </c>
      <c r="G105" s="188">
        <v>99612.76</v>
      </c>
      <c r="H105" s="189">
        <f t="shared" si="1"/>
        <v>0.9999473990644261</v>
      </c>
    </row>
    <row r="106" spans="1:8" ht="25.5" customHeight="1">
      <c r="A106" s="106"/>
      <c r="B106" s="107" t="s">
        <v>511</v>
      </c>
      <c r="C106" s="107" t="s">
        <v>648</v>
      </c>
      <c r="D106" s="105" t="s">
        <v>649</v>
      </c>
      <c r="E106" s="187">
        <v>0</v>
      </c>
      <c r="F106" s="187">
        <v>5860</v>
      </c>
      <c r="G106" s="188">
        <v>5864.54</v>
      </c>
      <c r="H106" s="189">
        <f t="shared" si="1"/>
        <v>1.0007747440273038</v>
      </c>
    </row>
    <row r="107" spans="1:8" ht="25.5" customHeight="1">
      <c r="A107" s="106"/>
      <c r="B107" s="107" t="s">
        <v>511</v>
      </c>
      <c r="C107" s="107" t="s">
        <v>639</v>
      </c>
      <c r="D107" s="105" t="s">
        <v>641</v>
      </c>
      <c r="E107" s="187">
        <v>0</v>
      </c>
      <c r="F107" s="187">
        <v>163093.79</v>
      </c>
      <c r="G107" s="188">
        <v>162276.89</v>
      </c>
      <c r="H107" s="189">
        <f t="shared" si="1"/>
        <v>0.9949912256009258</v>
      </c>
    </row>
    <row r="108" spans="1:8" ht="25.5" customHeight="1">
      <c r="A108" s="106"/>
      <c r="B108" s="107" t="s">
        <v>511</v>
      </c>
      <c r="C108" s="107" t="s">
        <v>640</v>
      </c>
      <c r="D108" s="105" t="s">
        <v>641</v>
      </c>
      <c r="E108" s="187">
        <v>0</v>
      </c>
      <c r="F108" s="187">
        <v>28781.26</v>
      </c>
      <c r="G108" s="188">
        <v>28637.1</v>
      </c>
      <c r="H108" s="189">
        <f t="shared" si="1"/>
        <v>0.9949911852365045</v>
      </c>
    </row>
    <row r="109" spans="1:8" ht="15.75">
      <c r="A109" s="108" t="s">
        <v>512</v>
      </c>
      <c r="B109" s="107"/>
      <c r="C109" s="109"/>
      <c r="D109" s="110" t="s">
        <v>513</v>
      </c>
      <c r="E109" s="190">
        <f>E110</f>
        <v>0</v>
      </c>
      <c r="F109" s="190">
        <f>F110</f>
        <v>82243</v>
      </c>
      <c r="G109" s="191">
        <f>G110</f>
        <v>75144.46</v>
      </c>
      <c r="H109" s="186">
        <f t="shared" si="1"/>
        <v>0.9136882166263391</v>
      </c>
    </row>
    <row r="110" spans="1:8" ht="25.5" customHeight="1">
      <c r="A110" s="111"/>
      <c r="B110" s="107" t="s">
        <v>650</v>
      </c>
      <c r="C110" s="107" t="s">
        <v>308</v>
      </c>
      <c r="D110" s="105" t="s">
        <v>309</v>
      </c>
      <c r="E110" s="193">
        <v>0</v>
      </c>
      <c r="F110" s="193">
        <v>82243</v>
      </c>
      <c r="G110" s="194">
        <v>75144.46</v>
      </c>
      <c r="H110" s="189">
        <f t="shared" si="1"/>
        <v>0.9136882166263391</v>
      </c>
    </row>
    <row r="111" spans="1:8" ht="15.75">
      <c r="A111" s="108" t="s">
        <v>315</v>
      </c>
      <c r="B111" s="107"/>
      <c r="C111" s="109"/>
      <c r="D111" s="110" t="s">
        <v>316</v>
      </c>
      <c r="E111" s="190">
        <f>SUM(E112:E120)</f>
        <v>70050</v>
      </c>
      <c r="F111" s="190">
        <f>SUM(F112:F120)</f>
        <v>262064.06</v>
      </c>
      <c r="G111" s="191">
        <f>SUM(G112:G120)</f>
        <v>249084.12</v>
      </c>
      <c r="H111" s="186">
        <f t="shared" si="1"/>
        <v>0.9504703544621876</v>
      </c>
    </row>
    <row r="112" spans="1:8" ht="38.25">
      <c r="A112" s="106"/>
      <c r="B112" s="107" t="s">
        <v>524</v>
      </c>
      <c r="C112" s="107" t="s">
        <v>246</v>
      </c>
      <c r="D112" s="105" t="s">
        <v>247</v>
      </c>
      <c r="E112" s="187">
        <v>0</v>
      </c>
      <c r="F112" s="187">
        <v>321.13</v>
      </c>
      <c r="G112" s="188">
        <v>321.13</v>
      </c>
      <c r="H112" s="189">
        <f t="shared" si="1"/>
        <v>1</v>
      </c>
    </row>
    <row r="113" spans="1:8" ht="15.75">
      <c r="A113" s="106"/>
      <c r="B113" s="107" t="s">
        <v>524</v>
      </c>
      <c r="C113" s="107" t="s">
        <v>149</v>
      </c>
      <c r="D113" s="105" t="s">
        <v>152</v>
      </c>
      <c r="E113" s="187">
        <v>0</v>
      </c>
      <c r="F113" s="187">
        <v>1259.9</v>
      </c>
      <c r="G113" s="188">
        <v>1380.98</v>
      </c>
      <c r="H113" s="189">
        <f t="shared" si="1"/>
        <v>1.0961028653067704</v>
      </c>
    </row>
    <row r="114" spans="1:8" ht="15.75">
      <c r="A114" s="106"/>
      <c r="B114" s="107" t="s">
        <v>524</v>
      </c>
      <c r="C114" s="107" t="s">
        <v>256</v>
      </c>
      <c r="D114" s="105" t="s">
        <v>257</v>
      </c>
      <c r="E114" s="187">
        <v>70000</v>
      </c>
      <c r="F114" s="187">
        <v>65000</v>
      </c>
      <c r="G114" s="188">
        <v>65965.61</v>
      </c>
      <c r="H114" s="189">
        <f t="shared" si="1"/>
        <v>1.0148555384615385</v>
      </c>
    </row>
    <row r="115" spans="1:8" ht="25.5">
      <c r="A115" s="106"/>
      <c r="B115" s="107" t="s">
        <v>651</v>
      </c>
      <c r="C115" s="107" t="s">
        <v>652</v>
      </c>
      <c r="D115" s="105" t="s">
        <v>653</v>
      </c>
      <c r="E115" s="187">
        <v>0</v>
      </c>
      <c r="F115" s="187">
        <v>150000</v>
      </c>
      <c r="G115" s="188">
        <v>137000.97</v>
      </c>
      <c r="H115" s="189">
        <f t="shared" si="1"/>
        <v>0.9133398</v>
      </c>
    </row>
    <row r="116" spans="1:8" ht="15.75">
      <c r="A116" s="106"/>
      <c r="B116" s="107" t="s">
        <v>527</v>
      </c>
      <c r="C116" s="107" t="s">
        <v>256</v>
      </c>
      <c r="D116" s="105" t="s">
        <v>257</v>
      </c>
      <c r="E116" s="187">
        <v>0</v>
      </c>
      <c r="F116" s="187">
        <v>218</v>
      </c>
      <c r="G116" s="188">
        <v>218</v>
      </c>
      <c r="H116" s="189">
        <f t="shared" si="1"/>
        <v>1</v>
      </c>
    </row>
    <row r="117" spans="1:8" ht="15.75">
      <c r="A117" s="106"/>
      <c r="B117" s="107" t="s">
        <v>654</v>
      </c>
      <c r="C117" s="107" t="s">
        <v>150</v>
      </c>
      <c r="D117" s="105" t="s">
        <v>637</v>
      </c>
      <c r="E117" s="187">
        <v>0</v>
      </c>
      <c r="F117" s="187">
        <v>7000</v>
      </c>
      <c r="G117" s="188">
        <v>5932.69</v>
      </c>
      <c r="H117" s="189">
        <f t="shared" si="1"/>
        <v>0.8475271428571428</v>
      </c>
    </row>
    <row r="118" spans="1:8" ht="15.75">
      <c r="A118" s="106"/>
      <c r="B118" s="107" t="s">
        <v>654</v>
      </c>
      <c r="C118" s="107" t="s">
        <v>149</v>
      </c>
      <c r="D118" s="105" t="s">
        <v>152</v>
      </c>
      <c r="E118" s="187">
        <v>0</v>
      </c>
      <c r="F118" s="187">
        <v>20</v>
      </c>
      <c r="G118" s="188">
        <v>19.71</v>
      </c>
      <c r="H118" s="189">
        <f t="shared" si="1"/>
        <v>0.9855</v>
      </c>
    </row>
    <row r="119" spans="1:8" ht="15.75">
      <c r="A119" s="106"/>
      <c r="B119" s="107" t="s">
        <v>654</v>
      </c>
      <c r="C119" s="107" t="s">
        <v>256</v>
      </c>
      <c r="D119" s="105" t="s">
        <v>257</v>
      </c>
      <c r="E119" s="187">
        <v>0</v>
      </c>
      <c r="F119" s="187">
        <v>38245.03</v>
      </c>
      <c r="G119" s="188">
        <v>38245.03</v>
      </c>
      <c r="H119" s="189">
        <f t="shared" si="1"/>
        <v>1</v>
      </c>
    </row>
    <row r="120" spans="1:8" ht="15.75">
      <c r="A120" s="106"/>
      <c r="B120" s="107" t="s">
        <v>622</v>
      </c>
      <c r="C120" s="107" t="s">
        <v>317</v>
      </c>
      <c r="D120" s="105" t="s">
        <v>318</v>
      </c>
      <c r="E120" s="187">
        <v>50</v>
      </c>
      <c r="F120" s="187">
        <v>0</v>
      </c>
      <c r="G120" s="188">
        <v>0</v>
      </c>
      <c r="H120" s="189">
        <v>0</v>
      </c>
    </row>
    <row r="121" spans="1:8" ht="15.75">
      <c r="A121" s="108" t="s">
        <v>159</v>
      </c>
      <c r="B121" s="107"/>
      <c r="C121" s="109"/>
      <c r="D121" s="110" t="s">
        <v>319</v>
      </c>
      <c r="E121" s="190">
        <f>E122</f>
        <v>500000</v>
      </c>
      <c r="F121" s="190">
        <f>F122</f>
        <v>312000</v>
      </c>
      <c r="G121" s="191">
        <f>G122</f>
        <v>0</v>
      </c>
      <c r="H121" s="186">
        <f t="shared" si="1"/>
        <v>0</v>
      </c>
    </row>
    <row r="122" spans="1:8" ht="15.75">
      <c r="A122" s="111"/>
      <c r="B122" s="112" t="s">
        <v>160</v>
      </c>
      <c r="C122" s="112" t="s">
        <v>256</v>
      </c>
      <c r="D122" s="113" t="s">
        <v>257</v>
      </c>
      <c r="E122" s="193">
        <v>500000</v>
      </c>
      <c r="F122" s="193">
        <v>312000</v>
      </c>
      <c r="G122" s="194">
        <v>0</v>
      </c>
      <c r="H122" s="209">
        <f t="shared" si="1"/>
        <v>0</v>
      </c>
    </row>
    <row r="123" spans="1:8" ht="30.75" customHeight="1">
      <c r="A123" s="278" t="s">
        <v>320</v>
      </c>
      <c r="B123" s="279"/>
      <c r="C123" s="280"/>
      <c r="D123" s="280"/>
      <c r="E123" s="195">
        <f>E109+E9+E11+E14+E21+E26+E39+E43+E47+E71+E75+E85+E88+E102+E111+E121+E30</f>
        <v>33058449</v>
      </c>
      <c r="F123" s="195">
        <f>F109+F9+F11+F14+F21+F26+F39+F43+F47+F71+F75+F85+F88+F102+F111+F121+F30</f>
        <v>33636456.48</v>
      </c>
      <c r="G123" s="196">
        <f>G109+G9+G11+G14+G21+G26+G39+G43+G47+G71+G75+G85+G88+G102+G111+G121+G30</f>
        <v>33228158.869999997</v>
      </c>
      <c r="H123" s="208">
        <f t="shared" si="1"/>
        <v>0.9878614559104116</v>
      </c>
    </row>
    <row r="124" spans="1:8" ht="14.25" customHeight="1">
      <c r="A124" s="270" t="s">
        <v>321</v>
      </c>
      <c r="B124" s="270"/>
      <c r="C124" s="270"/>
      <c r="D124" s="270"/>
      <c r="E124" s="270"/>
      <c r="F124" s="270"/>
      <c r="G124" s="270"/>
      <c r="H124" s="270"/>
    </row>
    <row r="125" spans="1:8" ht="15.75">
      <c r="A125" s="119" t="s">
        <v>201</v>
      </c>
      <c r="B125" s="119"/>
      <c r="C125" s="120"/>
      <c r="D125" s="121" t="s">
        <v>245</v>
      </c>
      <c r="E125" s="184">
        <f>SUM(E126:E127)</f>
        <v>1150776</v>
      </c>
      <c r="F125" s="184">
        <f>SUM(F126:F127)</f>
        <v>969412</v>
      </c>
      <c r="G125" s="185">
        <f>SUM(G126:G127)</f>
        <v>0</v>
      </c>
      <c r="H125" s="186">
        <f t="shared" si="1"/>
        <v>0</v>
      </c>
    </row>
    <row r="126" spans="1:8" ht="25.5" customHeight="1">
      <c r="A126" s="106"/>
      <c r="B126" s="107" t="s">
        <v>202</v>
      </c>
      <c r="C126" s="107" t="s">
        <v>323</v>
      </c>
      <c r="D126" s="105" t="s">
        <v>324</v>
      </c>
      <c r="E126" s="187">
        <v>863082</v>
      </c>
      <c r="F126" s="187">
        <v>727059</v>
      </c>
      <c r="G126" s="188">
        <v>0</v>
      </c>
      <c r="H126" s="189">
        <f t="shared" si="1"/>
        <v>0</v>
      </c>
    </row>
    <row r="127" spans="1:8" ht="25.5" customHeight="1">
      <c r="A127" s="106"/>
      <c r="B127" s="107" t="s">
        <v>202</v>
      </c>
      <c r="C127" s="107" t="s">
        <v>325</v>
      </c>
      <c r="D127" s="105" t="s">
        <v>324</v>
      </c>
      <c r="E127" s="187">
        <v>287694</v>
      </c>
      <c r="F127" s="187">
        <v>242353</v>
      </c>
      <c r="G127" s="188">
        <v>0</v>
      </c>
      <c r="H127" s="189">
        <f t="shared" si="1"/>
        <v>0</v>
      </c>
    </row>
    <row r="128" spans="1:8" ht="15.75">
      <c r="A128" s="108" t="s">
        <v>248</v>
      </c>
      <c r="B128" s="107"/>
      <c r="C128" s="109"/>
      <c r="D128" s="110" t="s">
        <v>249</v>
      </c>
      <c r="E128" s="190">
        <f>SUM(E129:E130)</f>
        <v>444300</v>
      </c>
      <c r="F128" s="190">
        <f>SUM(F129:F130)</f>
        <v>261886</v>
      </c>
      <c r="G128" s="191">
        <f>SUM(G129:G130)</f>
        <v>289502.42</v>
      </c>
      <c r="H128" s="186">
        <f t="shared" si="1"/>
        <v>1.1054520669298855</v>
      </c>
    </row>
    <row r="129" spans="1:8" ht="25.5" customHeight="1">
      <c r="A129" s="106"/>
      <c r="B129" s="107" t="s">
        <v>370</v>
      </c>
      <c r="C129" s="107" t="s">
        <v>326</v>
      </c>
      <c r="D129" s="105" t="s">
        <v>324</v>
      </c>
      <c r="E129" s="187">
        <v>444300</v>
      </c>
      <c r="F129" s="187">
        <v>53100</v>
      </c>
      <c r="G129" s="188">
        <v>80716.42</v>
      </c>
      <c r="H129" s="189">
        <f t="shared" si="1"/>
        <v>1.5200832391713748</v>
      </c>
    </row>
    <row r="130" spans="1:8" ht="25.5" customHeight="1">
      <c r="A130" s="106"/>
      <c r="B130" s="107" t="s">
        <v>370</v>
      </c>
      <c r="C130" s="107" t="s">
        <v>655</v>
      </c>
      <c r="D130" s="105" t="s">
        <v>656</v>
      </c>
      <c r="E130" s="187">
        <v>0</v>
      </c>
      <c r="F130" s="187">
        <v>208786</v>
      </c>
      <c r="G130" s="188">
        <v>208786</v>
      </c>
      <c r="H130" s="189">
        <f t="shared" si="1"/>
        <v>1</v>
      </c>
    </row>
    <row r="131" spans="1:8" ht="15.75">
      <c r="A131" s="108" t="s">
        <v>327</v>
      </c>
      <c r="B131" s="107"/>
      <c r="C131" s="109"/>
      <c r="D131" s="110" t="s">
        <v>328</v>
      </c>
      <c r="E131" s="190">
        <f>SUM(E132:E134)</f>
        <v>2539884</v>
      </c>
      <c r="F131" s="190">
        <f>SUM(F132:F134)</f>
        <v>4289884</v>
      </c>
      <c r="G131" s="191">
        <f>SUM(G132:G134)</f>
        <v>289884</v>
      </c>
      <c r="H131" s="186">
        <f t="shared" si="1"/>
        <v>0.0675738551438687</v>
      </c>
    </row>
    <row r="132" spans="1:8" ht="25.5" customHeight="1">
      <c r="A132" s="106"/>
      <c r="B132" s="107" t="s">
        <v>175</v>
      </c>
      <c r="C132" s="107" t="s">
        <v>657</v>
      </c>
      <c r="D132" s="105" t="s">
        <v>324</v>
      </c>
      <c r="E132" s="187">
        <v>0</v>
      </c>
      <c r="F132" s="187">
        <v>3689884</v>
      </c>
      <c r="G132" s="188">
        <v>246401.4</v>
      </c>
      <c r="H132" s="189">
        <f t="shared" si="1"/>
        <v>0.0667775463944124</v>
      </c>
    </row>
    <row r="133" spans="1:8" ht="25.5" customHeight="1">
      <c r="A133" s="106"/>
      <c r="B133" s="107" t="s">
        <v>175</v>
      </c>
      <c r="C133" s="107" t="s">
        <v>323</v>
      </c>
      <c r="D133" s="105" t="s">
        <v>324</v>
      </c>
      <c r="E133" s="187">
        <v>2158901.4</v>
      </c>
      <c r="F133" s="187">
        <v>0</v>
      </c>
      <c r="G133" s="188">
        <v>0</v>
      </c>
      <c r="H133" s="189"/>
    </row>
    <row r="134" spans="1:8" ht="25.5" customHeight="1">
      <c r="A134" s="106"/>
      <c r="B134" s="107" t="s">
        <v>175</v>
      </c>
      <c r="C134" s="107" t="s">
        <v>325</v>
      </c>
      <c r="D134" s="105" t="s">
        <v>324</v>
      </c>
      <c r="E134" s="187">
        <v>380982.6</v>
      </c>
      <c r="F134" s="187">
        <v>600000</v>
      </c>
      <c r="G134" s="188">
        <v>43482.6</v>
      </c>
      <c r="H134" s="189">
        <f t="shared" si="1"/>
        <v>0.072471</v>
      </c>
    </row>
    <row r="135" spans="1:8" ht="15.75">
      <c r="A135" s="108" t="s">
        <v>252</v>
      </c>
      <c r="B135" s="107"/>
      <c r="C135" s="109"/>
      <c r="D135" s="110" t="s">
        <v>253</v>
      </c>
      <c r="E135" s="190">
        <f>SUM(E136:E138)</f>
        <v>88000</v>
      </c>
      <c r="F135" s="190">
        <f>SUM(F136:F138)</f>
        <v>189475.78</v>
      </c>
      <c r="G135" s="191">
        <f>SUM(G136:G138)</f>
        <v>179647.58000000002</v>
      </c>
      <c r="H135" s="186">
        <f t="shared" si="1"/>
        <v>0.9481295181896072</v>
      </c>
    </row>
    <row r="136" spans="1:8" ht="25.5">
      <c r="A136" s="106"/>
      <c r="B136" s="107" t="s">
        <v>384</v>
      </c>
      <c r="C136" s="107" t="s">
        <v>329</v>
      </c>
      <c r="D136" s="105" t="s">
        <v>330</v>
      </c>
      <c r="E136" s="187">
        <v>3000</v>
      </c>
      <c r="F136" s="187">
        <v>12475.78</v>
      </c>
      <c r="G136" s="188">
        <v>12475.78</v>
      </c>
      <c r="H136" s="189">
        <f t="shared" si="1"/>
        <v>1</v>
      </c>
    </row>
    <row r="137" spans="1:10" ht="25.5">
      <c r="A137" s="106"/>
      <c r="B137" s="107" t="s">
        <v>384</v>
      </c>
      <c r="C137" s="107" t="s">
        <v>331</v>
      </c>
      <c r="D137" s="105" t="s">
        <v>332</v>
      </c>
      <c r="E137" s="187">
        <v>80000</v>
      </c>
      <c r="F137" s="187">
        <v>130000</v>
      </c>
      <c r="G137" s="188">
        <v>119601.89</v>
      </c>
      <c r="H137" s="189">
        <f t="shared" si="1"/>
        <v>0.9200145384615385</v>
      </c>
      <c r="J137" s="103">
        <f>G137+G138+G140</f>
        <v>168563.8</v>
      </c>
    </row>
    <row r="138" spans="1:8" ht="15.75">
      <c r="A138" s="106"/>
      <c r="B138" s="107" t="s">
        <v>384</v>
      </c>
      <c r="C138" s="107" t="s">
        <v>333</v>
      </c>
      <c r="D138" s="105" t="s">
        <v>334</v>
      </c>
      <c r="E138" s="187">
        <v>5000</v>
      </c>
      <c r="F138" s="187">
        <v>47000</v>
      </c>
      <c r="G138" s="188">
        <v>47569.91</v>
      </c>
      <c r="H138" s="189">
        <f aca="true" t="shared" si="2" ref="H138:H154">G138/F138</f>
        <v>1.0121257446808511</v>
      </c>
    </row>
    <row r="139" spans="1:8" ht="15.75">
      <c r="A139" s="108" t="s">
        <v>65</v>
      </c>
      <c r="B139" s="107"/>
      <c r="C139" s="109"/>
      <c r="D139" s="110" t="s">
        <v>66</v>
      </c>
      <c r="E139" s="190">
        <f>SUM(E140:E141)</f>
        <v>200</v>
      </c>
      <c r="F139" s="190">
        <f>SUM(F140:F141)</f>
        <v>358172</v>
      </c>
      <c r="G139" s="191">
        <f>SUM(G140:G141)</f>
        <v>1392</v>
      </c>
      <c r="H139" s="186">
        <f t="shared" si="2"/>
        <v>0.0038864009470310355</v>
      </c>
    </row>
    <row r="140" spans="1:8" ht="15.75">
      <c r="A140" s="106"/>
      <c r="B140" s="107" t="s">
        <v>399</v>
      </c>
      <c r="C140" s="107" t="s">
        <v>333</v>
      </c>
      <c r="D140" s="105" t="s">
        <v>334</v>
      </c>
      <c r="E140" s="187">
        <v>200</v>
      </c>
      <c r="F140" s="187">
        <v>1392</v>
      </c>
      <c r="G140" s="188">
        <v>1392</v>
      </c>
      <c r="H140" s="189">
        <f t="shared" si="2"/>
        <v>1</v>
      </c>
    </row>
    <row r="141" spans="1:8" ht="25.5">
      <c r="A141" s="106"/>
      <c r="B141" s="107" t="s">
        <v>402</v>
      </c>
      <c r="C141" s="107" t="s">
        <v>657</v>
      </c>
      <c r="D141" s="105" t="s">
        <v>324</v>
      </c>
      <c r="E141" s="187">
        <v>0</v>
      </c>
      <c r="F141" s="187">
        <v>356780</v>
      </c>
      <c r="G141" s="188">
        <v>0</v>
      </c>
      <c r="H141" s="189">
        <f t="shared" si="2"/>
        <v>0</v>
      </c>
    </row>
    <row r="142" spans="1:8" ht="15.75">
      <c r="A142" s="108" t="s">
        <v>266</v>
      </c>
      <c r="B142" s="107"/>
      <c r="C142" s="109"/>
      <c r="D142" s="110" t="s">
        <v>267</v>
      </c>
      <c r="E142" s="190">
        <f>SUM(E143:E144)</f>
        <v>1000</v>
      </c>
      <c r="F142" s="190">
        <f>SUM(F143:F144)</f>
        <v>150000</v>
      </c>
      <c r="G142" s="191">
        <f>SUM(G143:G144)</f>
        <v>150000</v>
      </c>
      <c r="H142" s="186">
        <f t="shared" si="2"/>
        <v>1</v>
      </c>
    </row>
    <row r="143" spans="1:8" ht="15.75">
      <c r="A143" s="106"/>
      <c r="B143" s="107" t="s">
        <v>408</v>
      </c>
      <c r="C143" s="107" t="s">
        <v>333</v>
      </c>
      <c r="D143" s="105" t="s">
        <v>334</v>
      </c>
      <c r="E143" s="187">
        <v>1000</v>
      </c>
      <c r="F143" s="187">
        <v>0</v>
      </c>
      <c r="G143" s="188">
        <v>0</v>
      </c>
      <c r="H143" s="189">
        <v>0</v>
      </c>
    </row>
    <row r="144" spans="1:8" ht="25.5" customHeight="1">
      <c r="A144" s="106"/>
      <c r="B144" s="107" t="s">
        <v>408</v>
      </c>
      <c r="C144" s="107" t="s">
        <v>658</v>
      </c>
      <c r="D144" s="105" t="s">
        <v>659</v>
      </c>
      <c r="E144" s="187">
        <v>0</v>
      </c>
      <c r="F144" s="187">
        <v>150000</v>
      </c>
      <c r="G144" s="188">
        <v>150000</v>
      </c>
      <c r="H144" s="189">
        <f t="shared" si="2"/>
        <v>1</v>
      </c>
    </row>
    <row r="145" spans="1:8" ht="15.75">
      <c r="A145" s="108" t="s">
        <v>304</v>
      </c>
      <c r="B145" s="107"/>
      <c r="C145" s="109"/>
      <c r="D145" s="110" t="s">
        <v>305</v>
      </c>
      <c r="E145" s="190">
        <f>SUM(E146:E147)</f>
        <v>0</v>
      </c>
      <c r="F145" s="190">
        <f>SUM(F146:F147)</f>
        <v>268136.98</v>
      </c>
      <c r="G145" s="191">
        <f>SUM(G146:G147)</f>
        <v>63500</v>
      </c>
      <c r="H145" s="186">
        <f t="shared" si="2"/>
        <v>0.2368192555909297</v>
      </c>
    </row>
    <row r="146" spans="1:8" ht="25.5" customHeight="1">
      <c r="A146" s="106"/>
      <c r="B146" s="107" t="s">
        <v>432</v>
      </c>
      <c r="C146" s="107" t="s">
        <v>655</v>
      </c>
      <c r="D146" s="105" t="s">
        <v>656</v>
      </c>
      <c r="E146" s="187">
        <v>0</v>
      </c>
      <c r="F146" s="187">
        <v>63500</v>
      </c>
      <c r="G146" s="188">
        <v>63500</v>
      </c>
      <c r="H146" s="189">
        <f t="shared" si="2"/>
        <v>1</v>
      </c>
    </row>
    <row r="147" spans="1:8" ht="25.5" customHeight="1">
      <c r="A147" s="106"/>
      <c r="B147" s="107" t="s">
        <v>451</v>
      </c>
      <c r="C147" s="107" t="s">
        <v>657</v>
      </c>
      <c r="D147" s="105" t="s">
        <v>324</v>
      </c>
      <c r="E147" s="187">
        <v>0</v>
      </c>
      <c r="F147" s="187">
        <v>204636.98</v>
      </c>
      <c r="G147" s="188">
        <v>0</v>
      </c>
      <c r="H147" s="189">
        <f t="shared" si="2"/>
        <v>0</v>
      </c>
    </row>
    <row r="148" spans="1:8" ht="15.75">
      <c r="A148" s="108" t="s">
        <v>315</v>
      </c>
      <c r="B148" s="107"/>
      <c r="C148" s="109"/>
      <c r="D148" s="110" t="s">
        <v>316</v>
      </c>
      <c r="E148" s="190">
        <f>SUM(E149:E150)</f>
        <v>2166035</v>
      </c>
      <c r="F148" s="190">
        <f>SUM(F149:F150)</f>
        <v>1600000</v>
      </c>
      <c r="G148" s="191">
        <f>SUM(G149:G150)</f>
        <v>0</v>
      </c>
      <c r="H148" s="186">
        <f t="shared" si="2"/>
        <v>0</v>
      </c>
    </row>
    <row r="149" spans="1:8" ht="25.5" customHeight="1">
      <c r="A149" s="106"/>
      <c r="B149" s="107" t="s">
        <v>524</v>
      </c>
      <c r="C149" s="107" t="s">
        <v>657</v>
      </c>
      <c r="D149" s="105" t="s">
        <v>324</v>
      </c>
      <c r="E149" s="187">
        <v>0</v>
      </c>
      <c r="F149" s="187">
        <v>1600000</v>
      </c>
      <c r="G149" s="188">
        <v>0</v>
      </c>
      <c r="H149" s="189">
        <f t="shared" si="2"/>
        <v>0</v>
      </c>
    </row>
    <row r="150" spans="1:8" ht="25.5" customHeight="1">
      <c r="A150" s="106"/>
      <c r="B150" s="107" t="s">
        <v>524</v>
      </c>
      <c r="C150" s="107" t="s">
        <v>323</v>
      </c>
      <c r="D150" s="105" t="s">
        <v>324</v>
      </c>
      <c r="E150" s="187">
        <v>2166035</v>
      </c>
      <c r="F150" s="187">
        <v>0</v>
      </c>
      <c r="G150" s="188">
        <v>0</v>
      </c>
      <c r="H150" s="189">
        <v>0</v>
      </c>
    </row>
    <row r="151" spans="1:8" ht="15.75">
      <c r="A151" s="108" t="s">
        <v>549</v>
      </c>
      <c r="B151" s="107"/>
      <c r="C151" s="109"/>
      <c r="D151" s="110" t="s">
        <v>550</v>
      </c>
      <c r="E151" s="190">
        <f>SUM(E152:E152)</f>
        <v>0</v>
      </c>
      <c r="F151" s="190">
        <f>SUM(F152:F152)</f>
        <v>553397</v>
      </c>
      <c r="G151" s="191">
        <f>SUM(G152:G152)</f>
        <v>0</v>
      </c>
      <c r="H151" s="186">
        <f t="shared" si="2"/>
        <v>0</v>
      </c>
    </row>
    <row r="152" spans="1:8" ht="25.5" customHeight="1">
      <c r="A152" s="106"/>
      <c r="B152" s="107" t="s">
        <v>551</v>
      </c>
      <c r="C152" s="107" t="s">
        <v>657</v>
      </c>
      <c r="D152" s="105" t="s">
        <v>324</v>
      </c>
      <c r="E152" s="187">
        <v>0</v>
      </c>
      <c r="F152" s="187">
        <v>553397</v>
      </c>
      <c r="G152" s="188">
        <v>0</v>
      </c>
      <c r="H152" s="189">
        <f t="shared" si="2"/>
        <v>0</v>
      </c>
    </row>
    <row r="153" spans="1:8" ht="15.75">
      <c r="A153" s="272" t="s">
        <v>320</v>
      </c>
      <c r="B153" s="273"/>
      <c r="C153" s="273"/>
      <c r="D153" s="274"/>
      <c r="E153" s="183">
        <f>E148+E142+E139+E135+E131+E128+E125+E145+E151</f>
        <v>6390195</v>
      </c>
      <c r="F153" s="183">
        <f>F148+F142+F139+F135+F131+F128+F125+F145+F151</f>
        <v>8640363.76</v>
      </c>
      <c r="G153" s="192">
        <f>G148+G142+G139+G135+G131+G128+G125+G145+G151</f>
        <v>973926</v>
      </c>
      <c r="H153" s="186">
        <f t="shared" si="2"/>
        <v>0.11271817102292925</v>
      </c>
    </row>
    <row r="154" spans="1:8" ht="15.75">
      <c r="A154" s="275" t="s">
        <v>335</v>
      </c>
      <c r="B154" s="276"/>
      <c r="C154" s="276"/>
      <c r="D154" s="277"/>
      <c r="E154" s="183">
        <f>E153+E123</f>
        <v>39448644</v>
      </c>
      <c r="F154" s="183">
        <f>F153+F123</f>
        <v>42276820.239999995</v>
      </c>
      <c r="G154" s="192">
        <f>G153+G123</f>
        <v>34202084.87</v>
      </c>
      <c r="H154" s="186">
        <f t="shared" si="2"/>
        <v>0.8090032475441441</v>
      </c>
    </row>
    <row r="155" spans="1:7" ht="12.75">
      <c r="A155" s="271"/>
      <c r="B155" s="271"/>
      <c r="C155" s="271"/>
      <c r="D155" s="271"/>
      <c r="E155" s="271"/>
      <c r="F155" s="103">
        <v>42276820.24</v>
      </c>
      <c r="G155" s="103">
        <v>34202084.87</v>
      </c>
    </row>
    <row r="156" spans="6:7" ht="12.75">
      <c r="F156" s="102">
        <f>F155-F154</f>
        <v>0</v>
      </c>
      <c r="G156" s="102">
        <f>G155-G154</f>
        <v>0</v>
      </c>
    </row>
  </sheetData>
  <sheetProtection/>
  <mergeCells count="7">
    <mergeCell ref="A6:H6"/>
    <mergeCell ref="A155:E155"/>
    <mergeCell ref="A153:D153"/>
    <mergeCell ref="A154:D154"/>
    <mergeCell ref="A123:D123"/>
    <mergeCell ref="A5:G5"/>
    <mergeCell ref="A124:H124"/>
  </mergeCells>
  <printOptions/>
  <pageMargins left="0.7874015748031497" right="0.7874015748031497" top="1.2598425196850394" bottom="0.984251968503937" header="0.5118110236220472" footer="0.5118110236220472"/>
  <pageSetup firstPageNumber="1" useFirstPageNumber="1" fitToHeight="3" fitToWidth="1" horizontalDpi="600" verticalDpi="600" orientation="portrait" paperSize="9" scale="57" r:id="rId1"/>
  <headerFooter alignWithMargins="0">
    <oddFooter>&amp;CStrona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00390625" style="13" customWidth="1"/>
    <col min="2" max="2" width="8.140625" style="13" customWidth="1"/>
    <col min="3" max="3" width="9.8515625" style="13" customWidth="1"/>
    <col min="4" max="4" width="41.57421875" style="13" customWidth="1"/>
    <col min="5" max="5" width="13.8515625" style="13" customWidth="1"/>
    <col min="6" max="6" width="13.140625" style="13" customWidth="1"/>
    <col min="7" max="7" width="13.28125" style="13" customWidth="1"/>
    <col min="8" max="16384" width="9.140625" style="13" customWidth="1"/>
  </cols>
  <sheetData>
    <row r="1" spans="5:7" ht="12.75">
      <c r="E1" s="14"/>
      <c r="F1" s="14"/>
      <c r="G1" s="14" t="s">
        <v>737</v>
      </c>
    </row>
    <row r="2" spans="5:7" ht="12.75">
      <c r="E2" s="17"/>
      <c r="F2" s="17"/>
      <c r="G2" s="102" t="s">
        <v>662</v>
      </c>
    </row>
    <row r="3" ht="12.75">
      <c r="E3" s="14"/>
    </row>
    <row r="4" ht="12.75">
      <c r="E4" s="14"/>
    </row>
    <row r="5" spans="1:9" ht="48" customHeight="1">
      <c r="A5" s="431" t="s">
        <v>158</v>
      </c>
      <c r="B5" s="431"/>
      <c r="C5" s="431"/>
      <c r="D5" s="431"/>
      <c r="E5" s="431"/>
      <c r="F5" s="73"/>
      <c r="H5" s="74"/>
      <c r="I5" s="74"/>
    </row>
    <row r="6" spans="1:9" ht="9.75" customHeight="1">
      <c r="A6" s="39"/>
      <c r="B6" s="39"/>
      <c r="C6" s="39"/>
      <c r="D6" s="39"/>
      <c r="E6" s="32" t="s">
        <v>84</v>
      </c>
      <c r="H6" s="74"/>
      <c r="I6" s="74"/>
    </row>
    <row r="7" spans="1:7" ht="25.5" customHeight="1">
      <c r="A7" s="43" t="s">
        <v>96</v>
      </c>
      <c r="B7" s="43" t="s">
        <v>8</v>
      </c>
      <c r="C7" s="43" t="s">
        <v>9</v>
      </c>
      <c r="D7" s="43" t="s">
        <v>156</v>
      </c>
      <c r="E7" s="44" t="s">
        <v>242</v>
      </c>
      <c r="F7" s="44" t="s">
        <v>632</v>
      </c>
      <c r="G7" s="44" t="s">
        <v>633</v>
      </c>
    </row>
    <row r="8" spans="1:7" ht="12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5</v>
      </c>
      <c r="G8" s="75">
        <v>5</v>
      </c>
    </row>
    <row r="9" spans="1:7" ht="15.75" customHeight="1">
      <c r="A9" s="33" t="s">
        <v>100</v>
      </c>
      <c r="B9" s="71" t="s">
        <v>159</v>
      </c>
      <c r="C9" s="71" t="s">
        <v>160</v>
      </c>
      <c r="D9" s="46" t="s">
        <v>162</v>
      </c>
      <c r="E9" s="171">
        <v>303900</v>
      </c>
      <c r="F9" s="171">
        <v>333900</v>
      </c>
      <c r="G9" s="72">
        <v>333900</v>
      </c>
    </row>
    <row r="10" spans="1:7" ht="15.75" customHeight="1">
      <c r="A10" s="33" t="s">
        <v>103</v>
      </c>
      <c r="B10" s="71" t="s">
        <v>159</v>
      </c>
      <c r="C10" s="71" t="s">
        <v>160</v>
      </c>
      <c r="D10" s="46" t="s">
        <v>676</v>
      </c>
      <c r="E10" s="171">
        <v>0</v>
      </c>
      <c r="F10" s="171">
        <v>99402.77</v>
      </c>
      <c r="G10" s="72">
        <v>98441.71</v>
      </c>
    </row>
    <row r="11" spans="1:7" ht="15.75" customHeight="1">
      <c r="A11" s="33" t="s">
        <v>105</v>
      </c>
      <c r="B11" s="71" t="s">
        <v>159</v>
      </c>
      <c r="C11" s="71" t="s">
        <v>161</v>
      </c>
      <c r="D11" s="46" t="s">
        <v>163</v>
      </c>
      <c r="E11" s="171">
        <v>61590.09</v>
      </c>
      <c r="F11" s="171">
        <v>80000</v>
      </c>
      <c r="G11" s="72">
        <v>80000</v>
      </c>
    </row>
    <row r="12" spans="1:7" ht="15.75" customHeight="1">
      <c r="A12" s="434" t="s">
        <v>94</v>
      </c>
      <c r="B12" s="435"/>
      <c r="C12" s="435"/>
      <c r="D12" s="436"/>
      <c r="E12" s="173">
        <f>SUM(E9:E11)</f>
        <v>365490.08999999997</v>
      </c>
      <c r="F12" s="173">
        <f>SUM(F9:F11)</f>
        <v>513302.77</v>
      </c>
      <c r="G12" s="80">
        <f>SUM(G9:G11)</f>
        <v>512341.71</v>
      </c>
    </row>
    <row r="14" ht="12.75">
      <c r="A14" s="76"/>
    </row>
    <row r="16" spans="1:7" ht="12.75">
      <c r="A16" s="15"/>
      <c r="B16" s="15"/>
      <c r="C16" s="15"/>
      <c r="D16" s="15"/>
      <c r="G16" s="14" t="s">
        <v>164</v>
      </c>
    </row>
    <row r="17" spans="1:7" ht="12.75">
      <c r="A17" s="15"/>
      <c r="B17" s="15"/>
      <c r="C17" s="15"/>
      <c r="D17" s="15"/>
      <c r="G17" s="102" t="s">
        <v>662</v>
      </c>
    </row>
    <row r="18" spans="1:5" ht="12.75">
      <c r="A18" s="15"/>
      <c r="B18" s="15"/>
      <c r="C18" s="15"/>
      <c r="D18" s="15"/>
      <c r="E18" s="14"/>
    </row>
    <row r="19" spans="1:5" ht="12.75">
      <c r="A19" s="15"/>
      <c r="B19" s="15"/>
      <c r="C19" s="15"/>
      <c r="D19" s="15"/>
      <c r="E19" s="14"/>
    </row>
    <row r="20" spans="1:5" ht="47.25" customHeight="1">
      <c r="A20" s="431" t="s">
        <v>629</v>
      </c>
      <c r="B20" s="431"/>
      <c r="C20" s="431"/>
      <c r="D20" s="431"/>
      <c r="E20" s="431"/>
    </row>
    <row r="21" spans="1:5" ht="15.75">
      <c r="A21" s="39"/>
      <c r="B21" s="39"/>
      <c r="C21" s="39"/>
      <c r="D21" s="39"/>
      <c r="E21" s="32" t="s">
        <v>84</v>
      </c>
    </row>
    <row r="22" spans="1:7" ht="25.5">
      <c r="A22" s="43" t="s">
        <v>96</v>
      </c>
      <c r="B22" s="43" t="s">
        <v>8</v>
      </c>
      <c r="C22" s="43" t="s">
        <v>9</v>
      </c>
      <c r="D22" s="44" t="s">
        <v>165</v>
      </c>
      <c r="E22" s="44" t="s">
        <v>242</v>
      </c>
      <c r="F22" s="44" t="s">
        <v>632</v>
      </c>
      <c r="G22" s="44" t="s">
        <v>633</v>
      </c>
    </row>
    <row r="23" spans="1:7" ht="12.75">
      <c r="A23" s="75">
        <v>1</v>
      </c>
      <c r="B23" s="75">
        <v>2</v>
      </c>
      <c r="C23" s="75">
        <v>3</v>
      </c>
      <c r="D23" s="75">
        <v>4</v>
      </c>
      <c r="E23" s="75">
        <v>5</v>
      </c>
      <c r="F23" s="75">
        <v>6</v>
      </c>
      <c r="G23" s="75">
        <v>7</v>
      </c>
    </row>
    <row r="24" spans="1:7" ht="15.75">
      <c r="A24" s="81" t="s">
        <v>100</v>
      </c>
      <c r="B24" s="81">
        <v>754</v>
      </c>
      <c r="C24" s="81">
        <v>75412</v>
      </c>
      <c r="D24" s="82" t="s">
        <v>677</v>
      </c>
      <c r="E24" s="170">
        <v>0</v>
      </c>
      <c r="F24" s="170">
        <v>559010</v>
      </c>
      <c r="G24" s="170">
        <v>559009.5</v>
      </c>
    </row>
    <row r="25" spans="1:7" ht="15.75">
      <c r="A25" s="81" t="s">
        <v>103</v>
      </c>
      <c r="B25" s="81">
        <v>921</v>
      </c>
      <c r="C25" s="81">
        <v>92109</v>
      </c>
      <c r="D25" s="82" t="s">
        <v>166</v>
      </c>
      <c r="E25" s="170">
        <f>SUM(E26:E27)</f>
        <v>840000</v>
      </c>
      <c r="F25" s="170">
        <f>SUM(F26:F27)</f>
        <v>700000</v>
      </c>
      <c r="G25" s="170">
        <f>SUM(G26:G27)</f>
        <v>649495.27</v>
      </c>
    </row>
    <row r="26" spans="1:7" ht="15.75">
      <c r="A26" s="83"/>
      <c r="B26" s="83"/>
      <c r="C26" s="83"/>
      <c r="D26" s="84" t="s">
        <v>167</v>
      </c>
      <c r="E26" s="171">
        <v>670000</v>
      </c>
      <c r="F26" s="171">
        <v>490000</v>
      </c>
      <c r="G26" s="171">
        <f>649495.27-G27</f>
        <v>439495.27</v>
      </c>
    </row>
    <row r="27" spans="1:7" ht="15.75">
      <c r="A27" s="83"/>
      <c r="B27" s="83"/>
      <c r="C27" s="83"/>
      <c r="D27" s="84" t="s">
        <v>168</v>
      </c>
      <c r="E27" s="172">
        <v>170000</v>
      </c>
      <c r="F27" s="172">
        <v>210000</v>
      </c>
      <c r="G27" s="172">
        <v>210000</v>
      </c>
    </row>
    <row r="28" spans="1:7" ht="15.75">
      <c r="A28" s="434" t="s">
        <v>94</v>
      </c>
      <c r="B28" s="435"/>
      <c r="C28" s="435"/>
      <c r="D28" s="436"/>
      <c r="E28" s="170">
        <f>E25+E24</f>
        <v>840000</v>
      </c>
      <c r="F28" s="170">
        <f>F25+F24</f>
        <v>1259010</v>
      </c>
      <c r="G28" s="170">
        <f>G25+G24</f>
        <v>1208504.77</v>
      </c>
    </row>
  </sheetData>
  <sheetProtection/>
  <mergeCells count="4">
    <mergeCell ref="A5:E5"/>
    <mergeCell ref="A12:D12"/>
    <mergeCell ref="A20:E20"/>
    <mergeCell ref="A28:D28"/>
  </mergeCells>
  <printOptions/>
  <pageMargins left="0.7480314960629921" right="0.7480314960629921" top="0.984251968503937" bottom="0.984251968503937" header="0.5118110236220472" footer="0.5118110236220472"/>
  <pageSetup firstPageNumber="17" useFirstPageNumber="1"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28125" style="15" customWidth="1"/>
    <col min="2" max="2" width="9.140625" style="15" customWidth="1"/>
    <col min="3" max="3" width="11.00390625" style="15" customWidth="1"/>
    <col min="4" max="4" width="46.8515625" style="15" customWidth="1"/>
    <col min="5" max="5" width="16.00390625" style="15" customWidth="1"/>
    <col min="6" max="6" width="9.140625" style="15" customWidth="1"/>
    <col min="7" max="7" width="10.28125" style="15" customWidth="1"/>
    <col min="8" max="16384" width="9.140625" style="15" customWidth="1"/>
  </cols>
  <sheetData>
    <row r="1" ht="12.75">
      <c r="G1" s="14" t="s">
        <v>170</v>
      </c>
    </row>
    <row r="2" spans="5:7" ht="12.75">
      <c r="E2" s="17"/>
      <c r="G2" s="102" t="s">
        <v>662</v>
      </c>
    </row>
    <row r="3" ht="12.75">
      <c r="E3" s="14"/>
    </row>
    <row r="4" ht="12.75">
      <c r="E4" s="14"/>
    </row>
    <row r="5" spans="1:6" ht="60" customHeight="1">
      <c r="A5" s="431" t="s">
        <v>171</v>
      </c>
      <c r="B5" s="431"/>
      <c r="C5" s="431"/>
      <c r="D5" s="431"/>
      <c r="E5" s="431"/>
      <c r="F5" s="42"/>
    </row>
    <row r="6" spans="1:5" ht="9.75" customHeight="1">
      <c r="A6" s="39"/>
      <c r="B6" s="39"/>
      <c r="C6" s="39"/>
      <c r="D6" s="39"/>
      <c r="E6" s="32" t="s">
        <v>84</v>
      </c>
    </row>
    <row r="7" spans="1:7" ht="28.5" customHeight="1">
      <c r="A7" s="43" t="s">
        <v>96</v>
      </c>
      <c r="B7" s="43" t="s">
        <v>8</v>
      </c>
      <c r="C7" s="43" t="s">
        <v>9</v>
      </c>
      <c r="D7" s="43" t="s">
        <v>169</v>
      </c>
      <c r="E7" s="44" t="s">
        <v>242</v>
      </c>
      <c r="F7" s="44" t="s">
        <v>632</v>
      </c>
      <c r="G7" s="44" t="s">
        <v>633</v>
      </c>
    </row>
    <row r="8" spans="1:7" s="77" customFormat="1" ht="12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</row>
    <row r="9" spans="1:7" s="77" customFormat="1" ht="12" customHeight="1">
      <c r="A9" s="88" t="s">
        <v>100</v>
      </c>
      <c r="B9" s="85" t="s">
        <v>172</v>
      </c>
      <c r="C9" s="86" t="s">
        <v>173</v>
      </c>
      <c r="D9" s="87" t="s">
        <v>174</v>
      </c>
      <c r="E9" s="169">
        <v>29000</v>
      </c>
      <c r="F9" s="169">
        <v>1440.5</v>
      </c>
      <c r="G9" s="169">
        <v>1440.5</v>
      </c>
    </row>
    <row r="10" spans="1:7" s="77" customFormat="1" ht="12" customHeight="1">
      <c r="A10" s="88" t="s">
        <v>103</v>
      </c>
      <c r="B10" s="78">
        <v>630</v>
      </c>
      <c r="C10" s="79" t="s">
        <v>175</v>
      </c>
      <c r="D10" s="87" t="s">
        <v>176</v>
      </c>
      <c r="E10" s="169">
        <v>15000</v>
      </c>
      <c r="F10" s="169">
        <v>15000</v>
      </c>
      <c r="G10" s="169">
        <v>13700</v>
      </c>
    </row>
    <row r="11" spans="1:7" s="77" customFormat="1" ht="24" customHeight="1">
      <c r="A11" s="88" t="s">
        <v>105</v>
      </c>
      <c r="B11" s="78">
        <v>750</v>
      </c>
      <c r="C11" s="79" t="s">
        <v>402</v>
      </c>
      <c r="D11" s="87" t="s">
        <v>678</v>
      </c>
      <c r="E11" s="169">
        <v>0</v>
      </c>
      <c r="F11" s="169">
        <v>4000</v>
      </c>
      <c r="G11" s="169">
        <v>4000</v>
      </c>
    </row>
    <row r="12" spans="1:7" s="77" customFormat="1" ht="12" customHeight="1">
      <c r="A12" s="88" t="s">
        <v>105</v>
      </c>
      <c r="B12" s="78">
        <v>801</v>
      </c>
      <c r="C12" s="79" t="s">
        <v>177</v>
      </c>
      <c r="D12" s="87" t="s">
        <v>178</v>
      </c>
      <c r="E12" s="169">
        <v>23500</v>
      </c>
      <c r="F12" s="169">
        <v>23500</v>
      </c>
      <c r="G12" s="169">
        <v>23500</v>
      </c>
    </row>
    <row r="13" spans="1:7" s="77" customFormat="1" ht="12" customHeight="1">
      <c r="A13" s="88" t="s">
        <v>108</v>
      </c>
      <c r="B13" s="78">
        <v>921</v>
      </c>
      <c r="C13" s="79" t="s">
        <v>181</v>
      </c>
      <c r="D13" s="87" t="s">
        <v>182</v>
      </c>
      <c r="E13" s="169">
        <v>100000</v>
      </c>
      <c r="F13" s="169">
        <v>100000</v>
      </c>
      <c r="G13" s="169">
        <v>80000</v>
      </c>
    </row>
    <row r="14" spans="1:7" s="77" customFormat="1" ht="12" customHeight="1">
      <c r="A14" s="88" t="s">
        <v>111</v>
      </c>
      <c r="B14" s="78">
        <v>926</v>
      </c>
      <c r="C14" s="79" t="s">
        <v>179</v>
      </c>
      <c r="D14" s="87" t="s">
        <v>180</v>
      </c>
      <c r="E14" s="169">
        <v>71000</v>
      </c>
      <c r="F14" s="169">
        <v>71000</v>
      </c>
      <c r="G14" s="169">
        <f>18000+18000+22000</f>
        <v>58000</v>
      </c>
    </row>
    <row r="15" spans="1:7" s="77" customFormat="1" ht="12" customHeight="1">
      <c r="A15" s="88" t="s">
        <v>114</v>
      </c>
      <c r="B15" s="78">
        <v>926</v>
      </c>
      <c r="C15" s="79" t="s">
        <v>557</v>
      </c>
      <c r="D15" s="87" t="s">
        <v>623</v>
      </c>
      <c r="E15" s="169">
        <v>34500</v>
      </c>
      <c r="F15" s="169">
        <v>34500</v>
      </c>
      <c r="G15" s="169">
        <f>8000</f>
        <v>8000</v>
      </c>
    </row>
    <row r="16" spans="1:7" ht="15.75" customHeight="1">
      <c r="A16" s="434" t="s">
        <v>94</v>
      </c>
      <c r="B16" s="435"/>
      <c r="C16" s="435"/>
      <c r="D16" s="436"/>
      <c r="E16" s="140">
        <f>SUM(E9:E15)</f>
        <v>273000</v>
      </c>
      <c r="F16" s="140">
        <f>SUM(F9:F15)</f>
        <v>249440.5</v>
      </c>
      <c r="G16" s="140">
        <f>SUM(G9:G15)</f>
        <v>188640.5</v>
      </c>
    </row>
    <row r="17" ht="15.75" customHeight="1"/>
    <row r="18" ht="15.75" customHeight="1">
      <c r="A18" s="76"/>
    </row>
    <row r="19" ht="15.75" customHeight="1"/>
    <row r="20" ht="12.75">
      <c r="G20" s="14" t="s">
        <v>624</v>
      </c>
    </row>
    <row r="21" spans="5:7" ht="12.75">
      <c r="E21" s="17"/>
      <c r="G21" s="102" t="s">
        <v>662</v>
      </c>
    </row>
    <row r="22" ht="12.75">
      <c r="E22" s="14"/>
    </row>
    <row r="23" ht="12.75">
      <c r="E23" s="14"/>
    </row>
    <row r="26" spans="1:6" ht="32.25" customHeight="1">
      <c r="A26" s="437" t="s">
        <v>187</v>
      </c>
      <c r="B26" s="437"/>
      <c r="C26" s="437"/>
      <c r="D26" s="437"/>
      <c r="E26" s="437"/>
      <c r="F26" s="92"/>
    </row>
    <row r="27" spans="1:6" ht="15.75">
      <c r="A27" s="39"/>
      <c r="B27" s="39"/>
      <c r="C27" s="39"/>
      <c r="D27" s="39"/>
      <c r="E27" s="39"/>
      <c r="F27" s="39"/>
    </row>
    <row r="28" spans="1:5" ht="15.75">
      <c r="A28" s="39"/>
      <c r="B28" s="39"/>
      <c r="C28" s="39"/>
      <c r="D28" s="39"/>
      <c r="E28" s="32" t="s">
        <v>84</v>
      </c>
    </row>
    <row r="29" spans="1:7" ht="25.5">
      <c r="A29" s="43" t="s">
        <v>96</v>
      </c>
      <c r="B29" s="43" t="s">
        <v>8</v>
      </c>
      <c r="C29" s="43" t="s">
        <v>9</v>
      </c>
      <c r="D29" s="43" t="s">
        <v>169</v>
      </c>
      <c r="E29" s="44" t="s">
        <v>242</v>
      </c>
      <c r="F29" s="44" t="s">
        <v>632</v>
      </c>
      <c r="G29" s="44" t="s">
        <v>633</v>
      </c>
    </row>
    <row r="30" spans="1:7" ht="12.75">
      <c r="A30" s="58">
        <v>1</v>
      </c>
      <c r="B30" s="58">
        <v>2</v>
      </c>
      <c r="C30" s="58">
        <v>3</v>
      </c>
      <c r="D30" s="58">
        <v>5</v>
      </c>
      <c r="E30" s="58">
        <v>6</v>
      </c>
      <c r="F30" s="58">
        <v>6</v>
      </c>
      <c r="G30" s="58">
        <v>6</v>
      </c>
    </row>
    <row r="31" spans="1:7" ht="12.75">
      <c r="A31" s="129" t="s">
        <v>100</v>
      </c>
      <c r="B31" s="85">
        <v>851</v>
      </c>
      <c r="C31" s="79" t="s">
        <v>183</v>
      </c>
      <c r="D31" s="87" t="s">
        <v>184</v>
      </c>
      <c r="E31" s="169">
        <v>1000</v>
      </c>
      <c r="F31" s="169">
        <v>0</v>
      </c>
      <c r="G31" s="169">
        <v>0</v>
      </c>
    </row>
    <row r="32" spans="1:7" ht="12.75">
      <c r="A32" s="129" t="s">
        <v>103</v>
      </c>
      <c r="B32" s="78">
        <v>852</v>
      </c>
      <c r="C32" s="79" t="s">
        <v>185</v>
      </c>
      <c r="D32" s="87" t="s">
        <v>186</v>
      </c>
      <c r="E32" s="169">
        <v>2000</v>
      </c>
      <c r="F32" s="169">
        <v>2000</v>
      </c>
      <c r="G32" s="169">
        <v>2000</v>
      </c>
    </row>
    <row r="33" spans="1:7" ht="12.75">
      <c r="A33" s="89" t="s">
        <v>94</v>
      </c>
      <c r="B33" s="90"/>
      <c r="C33" s="90"/>
      <c r="D33" s="91"/>
      <c r="E33" s="34">
        <f>SUM(E31:E32)</f>
        <v>3000</v>
      </c>
      <c r="F33" s="34">
        <f>SUM(F31:F32)</f>
        <v>2000</v>
      </c>
      <c r="G33" s="34">
        <f>SUM(G31:G32)</f>
        <v>2000</v>
      </c>
    </row>
  </sheetData>
  <sheetProtection/>
  <mergeCells count="3">
    <mergeCell ref="A26:E26"/>
    <mergeCell ref="A5:E5"/>
    <mergeCell ref="A16:D16"/>
  </mergeCells>
  <printOptions/>
  <pageMargins left="0.7874015748031497" right="0.7874015748031497" top="0.984251968503937" bottom="0.984251968503937" header="0.5118110236220472" footer="0.5118110236220472"/>
  <pageSetup firstPageNumber="18" useFirstPageNumber="1"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2">
      <selection activeCell="E72" sqref="E72"/>
    </sheetView>
  </sheetViews>
  <sheetFormatPr defaultColWidth="9.140625" defaultRowHeight="12.75"/>
  <cols>
    <col min="1" max="1" width="5.421875" style="137" customWidth="1"/>
    <col min="2" max="2" width="51.140625" style="15" customWidth="1"/>
    <col min="3" max="3" width="14.421875" style="138" bestFit="1" customWidth="1"/>
    <col min="4" max="4" width="9.140625" style="15" customWidth="1"/>
    <col min="5" max="5" width="10.57421875" style="15" bestFit="1" customWidth="1"/>
    <col min="6" max="8" width="9.140625" style="15" customWidth="1"/>
    <col min="9" max="9" width="10.8515625" style="99" bestFit="1" customWidth="1"/>
    <col min="10" max="16384" width="9.140625" style="15" customWidth="1"/>
  </cols>
  <sheetData>
    <row r="1" spans="1:4" ht="12.75">
      <c r="A1" s="130" t="s">
        <v>8</v>
      </c>
      <c r="B1" s="130" t="s">
        <v>51</v>
      </c>
      <c r="C1" s="131" t="s">
        <v>242</v>
      </c>
      <c r="D1" s="78" t="s">
        <v>601</v>
      </c>
    </row>
    <row r="2" spans="1:4" ht="12.75">
      <c r="A2" s="86" t="s">
        <v>172</v>
      </c>
      <c r="B2" s="134" t="s">
        <v>609</v>
      </c>
      <c r="C2" s="132">
        <v>47000</v>
      </c>
      <c r="D2" s="133">
        <f>C2/C22</f>
        <v>0.0008218156740881868</v>
      </c>
    </row>
    <row r="3" spans="1:4" ht="12.75">
      <c r="A3" s="86" t="s">
        <v>201</v>
      </c>
      <c r="B3" s="134" t="s">
        <v>1</v>
      </c>
      <c r="C3" s="132">
        <v>1290776</v>
      </c>
      <c r="D3" s="133">
        <f>C3/C22</f>
        <v>0.022569786139081987</v>
      </c>
    </row>
    <row r="4" spans="1:4" ht="12.75">
      <c r="A4" s="79" t="s">
        <v>358</v>
      </c>
      <c r="B4" s="87" t="s">
        <v>359</v>
      </c>
      <c r="C4" s="132">
        <v>3600000</v>
      </c>
      <c r="D4" s="133">
        <f>C4/C22</f>
        <v>0.06294758354718026</v>
      </c>
    </row>
    <row r="5" spans="1:4" ht="12.75">
      <c r="A5" s="79" t="s">
        <v>248</v>
      </c>
      <c r="B5" s="134" t="s">
        <v>613</v>
      </c>
      <c r="C5" s="132">
        <v>10812560.91</v>
      </c>
      <c r="D5" s="133">
        <f>C5/C22</f>
        <v>0.18906238367811123</v>
      </c>
    </row>
    <row r="6" spans="1:4" ht="12.75">
      <c r="A6" s="79" t="s">
        <v>327</v>
      </c>
      <c r="B6" s="135" t="s">
        <v>604</v>
      </c>
      <c r="C6" s="132">
        <v>5290500</v>
      </c>
      <c r="D6" s="133">
        <f>C6/C22</f>
        <v>0.09250671965454366</v>
      </c>
    </row>
    <row r="7" spans="1:4" ht="12.75">
      <c r="A7" s="79" t="s">
        <v>252</v>
      </c>
      <c r="B7" s="134" t="s">
        <v>608</v>
      </c>
      <c r="C7" s="132">
        <v>6184000</v>
      </c>
      <c r="D7" s="133">
        <f>C7/C22</f>
        <v>0.10812996018215631</v>
      </c>
    </row>
    <row r="8" spans="1:4" ht="12.75">
      <c r="A8" s="79" t="s">
        <v>258</v>
      </c>
      <c r="B8" s="134" t="s">
        <v>0</v>
      </c>
      <c r="C8" s="132">
        <v>627000</v>
      </c>
      <c r="D8" s="133">
        <f>C8/C22</f>
        <v>0.010963370801133895</v>
      </c>
    </row>
    <row r="9" spans="1:4" ht="12.75">
      <c r="A9" s="79" t="s">
        <v>65</v>
      </c>
      <c r="B9" s="134" t="s">
        <v>600</v>
      </c>
      <c r="C9" s="132">
        <v>1792400</v>
      </c>
      <c r="D9" s="133">
        <f>C9/C22</f>
        <v>0.03134090243054608</v>
      </c>
    </row>
    <row r="10" spans="1:4" ht="25.5">
      <c r="A10" s="79" t="s">
        <v>70</v>
      </c>
      <c r="B10" s="87" t="s">
        <v>610</v>
      </c>
      <c r="C10" s="132">
        <v>840</v>
      </c>
      <c r="D10" s="133">
        <f>C10/C22</f>
        <v>1.468776949434206E-05</v>
      </c>
    </row>
    <row r="11" spans="1:4" ht="12.75">
      <c r="A11" s="79" t="s">
        <v>266</v>
      </c>
      <c r="B11" s="134" t="s">
        <v>603</v>
      </c>
      <c r="C11" s="132">
        <v>1301699</v>
      </c>
      <c r="D11" s="133">
        <f>C11/C22</f>
        <v>0.022760779598828055</v>
      </c>
    </row>
    <row r="12" spans="1:4" ht="38.25">
      <c r="A12" s="79" t="s">
        <v>270</v>
      </c>
      <c r="B12" s="87" t="s">
        <v>614</v>
      </c>
      <c r="C12" s="132">
        <v>36000</v>
      </c>
      <c r="D12" s="133">
        <f>C12/C22</f>
        <v>0.0006294758354718026</v>
      </c>
    </row>
    <row r="13" spans="1:4" ht="12.75">
      <c r="A13" s="79" t="s">
        <v>300</v>
      </c>
      <c r="B13" s="134" t="s">
        <v>607</v>
      </c>
      <c r="C13" s="132">
        <v>1595132</v>
      </c>
      <c r="D13" s="133">
        <f>C13/C22</f>
        <v>0.027891584677439095</v>
      </c>
    </row>
    <row r="14" spans="1:4" ht="12.75">
      <c r="A14" s="79" t="s">
        <v>304</v>
      </c>
      <c r="B14" s="134" t="s">
        <v>598</v>
      </c>
      <c r="C14" s="132">
        <v>6283934</v>
      </c>
      <c r="D14" s="133">
        <f>C14/C22</f>
        <v>0.1098773501305463</v>
      </c>
    </row>
    <row r="15" spans="1:9" ht="12.75">
      <c r="A15" s="79" t="s">
        <v>306</v>
      </c>
      <c r="B15" s="134" t="s">
        <v>605</v>
      </c>
      <c r="C15" s="132">
        <v>334000</v>
      </c>
      <c r="D15" s="133">
        <f>C15/C22</f>
        <v>0.005840136917988391</v>
      </c>
      <c r="I15" s="99">
        <v>39863161.4</v>
      </c>
    </row>
    <row r="16" spans="1:9" ht="12.75">
      <c r="A16" s="79" t="s">
        <v>75</v>
      </c>
      <c r="B16" s="134" t="s">
        <v>599</v>
      </c>
      <c r="C16" s="132">
        <v>2647250</v>
      </c>
      <c r="D16" s="133">
        <f>C16/C22</f>
        <v>0.046288330707020264</v>
      </c>
      <c r="I16" s="99">
        <v>31000</v>
      </c>
    </row>
    <row r="17" spans="1:9" ht="12.75">
      <c r="A17" s="79" t="s">
        <v>310</v>
      </c>
      <c r="B17" s="134" t="s">
        <v>2</v>
      </c>
      <c r="C17" s="132">
        <v>643440</v>
      </c>
      <c r="D17" s="133">
        <f>C17/C22</f>
        <v>0.011250831432666019</v>
      </c>
      <c r="I17" s="99">
        <v>1890700</v>
      </c>
    </row>
    <row r="18" spans="1:9" ht="12.75">
      <c r="A18" s="79" t="s">
        <v>512</v>
      </c>
      <c r="B18" s="134" t="s">
        <v>611</v>
      </c>
      <c r="C18" s="132">
        <v>101618</v>
      </c>
      <c r="D18" s="133">
        <f>C18/C22</f>
        <v>0.0017768354291381567</v>
      </c>
      <c r="I18" s="99">
        <f>SUM(I15:I17)</f>
        <v>41784861.4</v>
      </c>
    </row>
    <row r="19" spans="1:9" ht="12.75">
      <c r="A19" s="79" t="s">
        <v>315</v>
      </c>
      <c r="B19" s="134" t="s">
        <v>612</v>
      </c>
      <c r="C19" s="132">
        <v>5798800</v>
      </c>
      <c r="D19" s="133">
        <f>C19/C22</f>
        <v>0.10139456874260803</v>
      </c>
      <c r="I19" s="142">
        <f>I18/C22</f>
        <v>0.7306266816621799</v>
      </c>
    </row>
    <row r="20" spans="1:4" ht="12.75">
      <c r="A20" s="79" t="s">
        <v>159</v>
      </c>
      <c r="B20" s="134" t="s">
        <v>602</v>
      </c>
      <c r="C20" s="132">
        <v>2632990.09</v>
      </c>
      <c r="D20" s="133">
        <f>C20/C22</f>
        <v>0.04603898990810352</v>
      </c>
    </row>
    <row r="21" spans="1:4" ht="12.75">
      <c r="A21" s="79" t="s">
        <v>549</v>
      </c>
      <c r="B21" s="134" t="s">
        <v>606</v>
      </c>
      <c r="C21" s="132">
        <v>6170500</v>
      </c>
      <c r="D21" s="133">
        <f>C21/C22</f>
        <v>0.10789390674385439</v>
      </c>
    </row>
    <row r="22" spans="1:4" ht="12.75">
      <c r="A22" s="438" t="s">
        <v>597</v>
      </c>
      <c r="B22" s="439"/>
      <c r="C22" s="132">
        <f>SUM(C2:C21)</f>
        <v>57190440</v>
      </c>
      <c r="D22" s="136">
        <f>SUM(D2:D21)</f>
        <v>0.9999999999999999</v>
      </c>
    </row>
    <row r="23" ht="12.75">
      <c r="D23" s="99"/>
    </row>
    <row r="26" ht="12.75">
      <c r="C26" s="139"/>
    </row>
    <row r="69" spans="4:6" ht="12.75">
      <c r="D69" s="99"/>
      <c r="E69" s="99">
        <v>-7798835.42</v>
      </c>
      <c r="F69" s="99"/>
    </row>
    <row r="70" spans="4:6" ht="12.75">
      <c r="D70" s="99"/>
      <c r="E70" s="99">
        <v>8947058.53</v>
      </c>
      <c r="F70" s="99"/>
    </row>
    <row r="71" spans="4:6" ht="12.75">
      <c r="D71" s="99"/>
      <c r="E71" s="99">
        <f>E70+E69</f>
        <v>1148223.1099999994</v>
      </c>
      <c r="F71" s="99"/>
    </row>
    <row r="72" spans="4:6" ht="12.75">
      <c r="D72" s="99"/>
      <c r="E72" s="99"/>
      <c r="F72" s="99"/>
    </row>
    <row r="73" spans="4:6" ht="12.75">
      <c r="D73" s="99"/>
      <c r="E73" s="99"/>
      <c r="F73" s="99"/>
    </row>
    <row r="74" spans="4:6" ht="12.75">
      <c r="D74" s="99"/>
      <c r="E74" s="99"/>
      <c r="F74" s="99"/>
    </row>
    <row r="75" spans="4:6" ht="12.75">
      <c r="D75" s="99"/>
      <c r="E75" s="99"/>
      <c r="F75" s="99"/>
    </row>
    <row r="76" spans="4:6" ht="12.75">
      <c r="D76" s="99"/>
      <c r="E76" s="99"/>
      <c r="F76" s="99"/>
    </row>
    <row r="77" spans="4:6" ht="12.75">
      <c r="D77" s="99"/>
      <c r="E77" s="99"/>
      <c r="F77" s="99"/>
    </row>
    <row r="78" spans="4:6" ht="12.75">
      <c r="D78" s="99"/>
      <c r="E78" s="99"/>
      <c r="F78" s="99"/>
    </row>
    <row r="79" spans="4:6" ht="12.75">
      <c r="D79" s="99"/>
      <c r="E79" s="99"/>
      <c r="F79" s="99"/>
    </row>
    <row r="80" spans="4:6" ht="12.75">
      <c r="D80" s="99"/>
      <c r="E80" s="99"/>
      <c r="F80" s="99"/>
    </row>
    <row r="81" spans="4:6" ht="12.75">
      <c r="D81" s="99"/>
      <c r="E81" s="99"/>
      <c r="F81" s="99"/>
    </row>
    <row r="82" spans="4:6" ht="12.75">
      <c r="D82" s="99"/>
      <c r="E82" s="99"/>
      <c r="F82" s="99"/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tabSelected="1" view="pageBreakPreview" zoomScale="60" workbookViewId="0" topLeftCell="A260">
      <selection activeCell="C210" sqref="C210:C212"/>
    </sheetView>
  </sheetViews>
  <sheetFormatPr defaultColWidth="9.140625" defaultRowHeight="12.75"/>
  <cols>
    <col min="1" max="1" width="8.8515625" style="210" customWidth="1"/>
    <col min="2" max="2" width="11.28125" style="210" customWidth="1"/>
    <col min="3" max="3" width="71.140625" style="210" customWidth="1"/>
    <col min="4" max="14" width="18.7109375" style="210" customWidth="1"/>
    <col min="15" max="16384" width="9.140625" style="210" customWidth="1"/>
  </cols>
  <sheetData>
    <row r="1" ht="18.75">
      <c r="N1" s="211" t="s">
        <v>590</v>
      </c>
    </row>
    <row r="2" ht="18.75">
      <c r="N2" s="211" t="s">
        <v>662</v>
      </c>
    </row>
    <row r="3" ht="18.75">
      <c r="N3" s="212"/>
    </row>
    <row r="4" ht="18.75">
      <c r="N4" s="212"/>
    </row>
    <row r="5" ht="18.75">
      <c r="N5" s="212" t="s">
        <v>7</v>
      </c>
    </row>
    <row r="6" spans="1:14" ht="18.75">
      <c r="A6" s="283" t="s">
        <v>8</v>
      </c>
      <c r="B6" s="283" t="s">
        <v>9</v>
      </c>
      <c r="C6" s="283" t="s">
        <v>51</v>
      </c>
      <c r="D6" s="284" t="s">
        <v>729</v>
      </c>
      <c r="E6" s="286" t="s">
        <v>12</v>
      </c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8.75">
      <c r="A7" s="283"/>
      <c r="B7" s="283"/>
      <c r="C7" s="283"/>
      <c r="D7" s="283"/>
      <c r="E7" s="287" t="s">
        <v>55</v>
      </c>
      <c r="F7" s="288" t="s">
        <v>12</v>
      </c>
      <c r="G7" s="289"/>
      <c r="H7" s="289"/>
      <c r="I7" s="289"/>
      <c r="J7" s="289"/>
      <c r="K7" s="289"/>
      <c r="L7" s="289"/>
      <c r="M7" s="290"/>
      <c r="N7" s="287" t="s">
        <v>57</v>
      </c>
    </row>
    <row r="8" spans="1:14" ht="18.75">
      <c r="A8" s="283"/>
      <c r="B8" s="283"/>
      <c r="C8" s="283"/>
      <c r="D8" s="283"/>
      <c r="E8" s="283"/>
      <c r="F8" s="283" t="s">
        <v>337</v>
      </c>
      <c r="G8" s="283" t="s">
        <v>12</v>
      </c>
      <c r="H8" s="283"/>
      <c r="I8" s="283" t="s">
        <v>338</v>
      </c>
      <c r="J8" s="283" t="s">
        <v>59</v>
      </c>
      <c r="K8" s="282" t="s">
        <v>60</v>
      </c>
      <c r="L8" s="283" t="s">
        <v>339</v>
      </c>
      <c r="M8" s="283" t="s">
        <v>340</v>
      </c>
      <c r="N8" s="283"/>
    </row>
    <row r="9" spans="1:14" ht="18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2"/>
      <c r="L9" s="283"/>
      <c r="M9" s="283"/>
      <c r="N9" s="283"/>
    </row>
    <row r="10" spans="1:14" ht="75" customHeight="1">
      <c r="A10" s="283"/>
      <c r="B10" s="283"/>
      <c r="C10" s="283"/>
      <c r="D10" s="283"/>
      <c r="E10" s="283"/>
      <c r="F10" s="283"/>
      <c r="G10" s="223" t="s">
        <v>61</v>
      </c>
      <c r="H10" s="223" t="s">
        <v>62</v>
      </c>
      <c r="I10" s="283"/>
      <c r="J10" s="283"/>
      <c r="K10" s="282"/>
      <c r="L10" s="283"/>
      <c r="M10" s="283"/>
      <c r="N10" s="283"/>
    </row>
    <row r="11" spans="1:14" ht="18.75">
      <c r="A11" s="213" t="s">
        <v>63</v>
      </c>
      <c r="B11" s="213" t="s">
        <v>64</v>
      </c>
      <c r="C11" s="213" t="s">
        <v>243</v>
      </c>
      <c r="D11" s="213" t="s">
        <v>244</v>
      </c>
      <c r="E11" s="213" t="s">
        <v>322</v>
      </c>
      <c r="F11" s="213" t="s">
        <v>341</v>
      </c>
      <c r="G11" s="213" t="s">
        <v>342</v>
      </c>
      <c r="H11" s="213" t="s">
        <v>343</v>
      </c>
      <c r="I11" s="213" t="s">
        <v>344</v>
      </c>
      <c r="J11" s="213" t="s">
        <v>345</v>
      </c>
      <c r="K11" s="213" t="s">
        <v>346</v>
      </c>
      <c r="L11" s="213" t="s">
        <v>347</v>
      </c>
      <c r="M11" s="213" t="s">
        <v>348</v>
      </c>
      <c r="N11" s="213" t="s">
        <v>349</v>
      </c>
    </row>
    <row r="12" spans="1:14" s="216" customFormat="1" ht="18" customHeight="1">
      <c r="A12" s="291" t="s">
        <v>172</v>
      </c>
      <c r="B12" s="296"/>
      <c r="C12" s="296" t="s">
        <v>350</v>
      </c>
      <c r="D12" s="215">
        <f>D15+D18+D21</f>
        <v>47000</v>
      </c>
      <c r="E12" s="215">
        <f aca="true" t="shared" si="0" ref="E12:N12">E15+E18+E21</f>
        <v>47000</v>
      </c>
      <c r="F12" s="215">
        <f t="shared" si="0"/>
        <v>18000</v>
      </c>
      <c r="G12" s="215">
        <f t="shared" si="0"/>
        <v>0</v>
      </c>
      <c r="H12" s="215">
        <f t="shared" si="0"/>
        <v>18000</v>
      </c>
      <c r="I12" s="215">
        <f t="shared" si="0"/>
        <v>29000</v>
      </c>
      <c r="J12" s="215">
        <f t="shared" si="0"/>
        <v>0</v>
      </c>
      <c r="K12" s="215">
        <f t="shared" si="0"/>
        <v>0</v>
      </c>
      <c r="L12" s="215">
        <f t="shared" si="0"/>
        <v>0</v>
      </c>
      <c r="M12" s="215">
        <f t="shared" si="0"/>
        <v>0</v>
      </c>
      <c r="N12" s="215">
        <f t="shared" si="0"/>
        <v>0</v>
      </c>
    </row>
    <row r="13" spans="1:14" s="216" customFormat="1" ht="18" customHeight="1">
      <c r="A13" s="292"/>
      <c r="B13" s="297"/>
      <c r="C13" s="297"/>
      <c r="D13" s="215">
        <f aca="true" t="shared" si="1" ref="D13:N14">D16+D19+D22</f>
        <v>224950.17</v>
      </c>
      <c r="E13" s="215">
        <f t="shared" si="1"/>
        <v>224950.17</v>
      </c>
      <c r="F13" s="215">
        <f t="shared" si="1"/>
        <v>223509.67</v>
      </c>
      <c r="G13" s="215">
        <f t="shared" si="1"/>
        <v>2253.29</v>
      </c>
      <c r="H13" s="215">
        <f t="shared" si="1"/>
        <v>221256.38</v>
      </c>
      <c r="I13" s="215">
        <f t="shared" si="1"/>
        <v>1440.5</v>
      </c>
      <c r="J13" s="215">
        <f t="shared" si="1"/>
        <v>0</v>
      </c>
      <c r="K13" s="215">
        <f t="shared" si="1"/>
        <v>0</v>
      </c>
      <c r="L13" s="215">
        <f t="shared" si="1"/>
        <v>0</v>
      </c>
      <c r="M13" s="215">
        <f t="shared" si="1"/>
        <v>0</v>
      </c>
      <c r="N13" s="215">
        <f t="shared" si="1"/>
        <v>0</v>
      </c>
    </row>
    <row r="14" spans="1:14" s="216" customFormat="1" ht="18" customHeight="1">
      <c r="A14" s="292"/>
      <c r="B14" s="298"/>
      <c r="C14" s="298"/>
      <c r="D14" s="215">
        <f t="shared" si="1"/>
        <v>190972.31</v>
      </c>
      <c r="E14" s="215">
        <f t="shared" si="1"/>
        <v>190972.31</v>
      </c>
      <c r="F14" s="215">
        <f t="shared" si="1"/>
        <v>189531.81</v>
      </c>
      <c r="G14" s="215">
        <f t="shared" si="1"/>
        <v>2253.29</v>
      </c>
      <c r="H14" s="215">
        <f t="shared" si="1"/>
        <v>187278.52000000002</v>
      </c>
      <c r="I14" s="215">
        <f t="shared" si="1"/>
        <v>1440.5</v>
      </c>
      <c r="J14" s="215">
        <f t="shared" si="1"/>
        <v>0</v>
      </c>
      <c r="K14" s="215">
        <f t="shared" si="1"/>
        <v>0</v>
      </c>
      <c r="L14" s="215">
        <f t="shared" si="1"/>
        <v>0</v>
      </c>
      <c r="M14" s="215">
        <f t="shared" si="1"/>
        <v>0</v>
      </c>
      <c r="N14" s="215">
        <f t="shared" si="1"/>
        <v>0</v>
      </c>
    </row>
    <row r="15" spans="1:14" ht="18" customHeight="1">
      <c r="A15" s="292"/>
      <c r="B15" s="294" t="s">
        <v>351</v>
      </c>
      <c r="C15" s="294" t="s">
        <v>352</v>
      </c>
      <c r="D15" s="219">
        <f aca="true" t="shared" si="2" ref="D15:D23">E15+N15</f>
        <v>10000</v>
      </c>
      <c r="E15" s="219">
        <v>10000</v>
      </c>
      <c r="F15" s="219">
        <v>10000</v>
      </c>
      <c r="G15" s="219"/>
      <c r="H15" s="219">
        <v>10000</v>
      </c>
      <c r="I15" s="219"/>
      <c r="J15" s="219"/>
      <c r="K15" s="219"/>
      <c r="L15" s="219"/>
      <c r="M15" s="219"/>
      <c r="N15" s="219"/>
    </row>
    <row r="16" spans="1:14" s="216" customFormat="1" ht="18" customHeight="1">
      <c r="A16" s="292"/>
      <c r="B16" s="295"/>
      <c r="C16" s="295"/>
      <c r="D16" s="219">
        <f t="shared" si="2"/>
        <v>58000</v>
      </c>
      <c r="E16" s="219">
        <v>58000</v>
      </c>
      <c r="F16" s="219">
        <v>58000</v>
      </c>
      <c r="G16" s="219"/>
      <c r="H16" s="219">
        <v>58000</v>
      </c>
      <c r="I16" s="219"/>
      <c r="J16" s="219"/>
      <c r="K16" s="219"/>
      <c r="L16" s="219"/>
      <c r="M16" s="219"/>
      <c r="N16" s="219"/>
    </row>
    <row r="17" spans="1:14" s="216" customFormat="1" ht="18" customHeight="1">
      <c r="A17" s="292"/>
      <c r="B17" s="287"/>
      <c r="C17" s="287"/>
      <c r="D17" s="219">
        <f t="shared" si="2"/>
        <v>24662.02</v>
      </c>
      <c r="E17" s="219">
        <v>24662.02</v>
      </c>
      <c r="F17" s="219">
        <v>24662.02</v>
      </c>
      <c r="G17" s="219"/>
      <c r="H17" s="219">
        <v>24662.02</v>
      </c>
      <c r="I17" s="219"/>
      <c r="J17" s="219"/>
      <c r="K17" s="219"/>
      <c r="L17" s="219"/>
      <c r="M17" s="219"/>
      <c r="N17" s="219"/>
    </row>
    <row r="18" spans="1:14" ht="18" customHeight="1">
      <c r="A18" s="292"/>
      <c r="B18" s="294" t="s">
        <v>353</v>
      </c>
      <c r="C18" s="294" t="s">
        <v>354</v>
      </c>
      <c r="D18" s="219">
        <f t="shared" si="2"/>
        <v>8000</v>
      </c>
      <c r="E18" s="219">
        <v>8000</v>
      </c>
      <c r="F18" s="219">
        <v>8000</v>
      </c>
      <c r="G18" s="219"/>
      <c r="H18" s="219">
        <v>8000</v>
      </c>
      <c r="I18" s="219"/>
      <c r="J18" s="219"/>
      <c r="K18" s="219"/>
      <c r="L18" s="219"/>
      <c r="M18" s="219"/>
      <c r="N18" s="219"/>
    </row>
    <row r="19" spans="1:14" s="216" customFormat="1" ht="18" customHeight="1">
      <c r="A19" s="292"/>
      <c r="B19" s="295"/>
      <c r="C19" s="295"/>
      <c r="D19" s="219">
        <f t="shared" si="2"/>
        <v>5000</v>
      </c>
      <c r="E19" s="219">
        <v>5000</v>
      </c>
      <c r="F19" s="219">
        <v>5000</v>
      </c>
      <c r="G19" s="219"/>
      <c r="H19" s="219">
        <v>5000</v>
      </c>
      <c r="I19" s="221"/>
      <c r="J19" s="221"/>
      <c r="K19" s="221"/>
      <c r="L19" s="221"/>
      <c r="M19" s="221"/>
      <c r="N19" s="221"/>
    </row>
    <row r="20" spans="1:14" ht="18" customHeight="1">
      <c r="A20" s="292"/>
      <c r="B20" s="287"/>
      <c r="C20" s="287"/>
      <c r="D20" s="219">
        <f t="shared" si="2"/>
        <v>4360.12</v>
      </c>
      <c r="E20" s="219">
        <v>4360.12</v>
      </c>
      <c r="F20" s="219">
        <v>4360.12</v>
      </c>
      <c r="G20" s="219"/>
      <c r="H20" s="219">
        <v>4360.12</v>
      </c>
      <c r="I20" s="219"/>
      <c r="J20" s="219"/>
      <c r="K20" s="219"/>
      <c r="L20" s="219"/>
      <c r="M20" s="219"/>
      <c r="N20" s="219"/>
    </row>
    <row r="21" spans="1:14" ht="18" customHeight="1">
      <c r="A21" s="292"/>
      <c r="B21" s="294" t="s">
        <v>173</v>
      </c>
      <c r="C21" s="294" t="s">
        <v>355</v>
      </c>
      <c r="D21" s="219">
        <f t="shared" si="2"/>
        <v>29000</v>
      </c>
      <c r="E21" s="219">
        <v>29000</v>
      </c>
      <c r="F21" s="219"/>
      <c r="G21" s="219"/>
      <c r="H21" s="219"/>
      <c r="I21" s="219">
        <v>29000</v>
      </c>
      <c r="J21" s="219"/>
      <c r="K21" s="219"/>
      <c r="L21" s="219"/>
      <c r="M21" s="219"/>
      <c r="N21" s="219"/>
    </row>
    <row r="22" spans="1:14" s="216" customFormat="1" ht="18" customHeight="1">
      <c r="A22" s="292"/>
      <c r="B22" s="295"/>
      <c r="C22" s="295"/>
      <c r="D22" s="219">
        <f t="shared" si="2"/>
        <v>161950.17</v>
      </c>
      <c r="E22" s="219">
        <v>161950.17</v>
      </c>
      <c r="F22" s="219">
        <v>160509.67</v>
      </c>
      <c r="G22" s="219">
        <v>2253.29</v>
      </c>
      <c r="H22" s="219">
        <v>158256.38</v>
      </c>
      <c r="I22" s="219">
        <v>1440.5</v>
      </c>
      <c r="J22" s="219"/>
      <c r="K22" s="219"/>
      <c r="L22" s="219"/>
      <c r="M22" s="219"/>
      <c r="N22" s="219"/>
    </row>
    <row r="23" spans="1:14" s="216" customFormat="1" ht="18" customHeight="1">
      <c r="A23" s="293"/>
      <c r="B23" s="287"/>
      <c r="C23" s="287"/>
      <c r="D23" s="219">
        <f t="shared" si="2"/>
        <v>161950.17</v>
      </c>
      <c r="E23" s="219">
        <v>161950.17</v>
      </c>
      <c r="F23" s="219">
        <v>160509.67</v>
      </c>
      <c r="G23" s="219">
        <v>2253.29</v>
      </c>
      <c r="H23" s="219">
        <v>158256.38</v>
      </c>
      <c r="I23" s="219">
        <v>1440.5</v>
      </c>
      <c r="J23" s="219"/>
      <c r="K23" s="219"/>
      <c r="L23" s="219"/>
      <c r="M23" s="219"/>
      <c r="N23" s="219"/>
    </row>
    <row r="24" spans="1:14" s="216" customFormat="1" ht="18" customHeight="1">
      <c r="A24" s="291" t="s">
        <v>201</v>
      </c>
      <c r="B24" s="296"/>
      <c r="C24" s="296" t="s">
        <v>245</v>
      </c>
      <c r="D24" s="215">
        <f>D27</f>
        <v>1290776</v>
      </c>
      <c r="E24" s="215" t="str">
        <f aca="true" t="shared" si="3" ref="E24:N24">E27</f>
        <v>10 000,00</v>
      </c>
      <c r="F24" s="215" t="str">
        <f t="shared" si="3"/>
        <v>10 000,00</v>
      </c>
      <c r="G24" s="215">
        <f t="shared" si="3"/>
        <v>0</v>
      </c>
      <c r="H24" s="215" t="str">
        <f t="shared" si="3"/>
        <v>10 000,00</v>
      </c>
      <c r="I24" s="215">
        <f t="shared" si="3"/>
        <v>0</v>
      </c>
      <c r="J24" s="215">
        <f t="shared" si="3"/>
        <v>0</v>
      </c>
      <c r="K24" s="215">
        <f t="shared" si="3"/>
        <v>0</v>
      </c>
      <c r="L24" s="215">
        <f t="shared" si="3"/>
        <v>0</v>
      </c>
      <c r="M24" s="215">
        <f t="shared" si="3"/>
        <v>0</v>
      </c>
      <c r="N24" s="215" t="str">
        <f t="shared" si="3"/>
        <v>1 280 776,00</v>
      </c>
    </row>
    <row r="25" spans="1:14" s="216" customFormat="1" ht="18" customHeight="1">
      <c r="A25" s="292"/>
      <c r="B25" s="297"/>
      <c r="C25" s="297"/>
      <c r="D25" s="215">
        <f aca="true" t="shared" si="4" ref="D25:N25">D28</f>
        <v>1219412</v>
      </c>
      <c r="E25" s="215">
        <f t="shared" si="4"/>
        <v>200000</v>
      </c>
      <c r="F25" s="215">
        <f t="shared" si="4"/>
        <v>200000</v>
      </c>
      <c r="G25" s="215">
        <f t="shared" si="4"/>
        <v>0</v>
      </c>
      <c r="H25" s="215">
        <f t="shared" si="4"/>
        <v>200000</v>
      </c>
      <c r="I25" s="215">
        <f t="shared" si="4"/>
        <v>0</v>
      </c>
      <c r="J25" s="215">
        <f t="shared" si="4"/>
        <v>0</v>
      </c>
      <c r="K25" s="215">
        <f t="shared" si="4"/>
        <v>0</v>
      </c>
      <c r="L25" s="215">
        <f t="shared" si="4"/>
        <v>0</v>
      </c>
      <c r="M25" s="215">
        <f t="shared" si="4"/>
        <v>0</v>
      </c>
      <c r="N25" s="215">
        <f t="shared" si="4"/>
        <v>1019412</v>
      </c>
    </row>
    <row r="26" spans="1:14" s="216" customFormat="1" ht="18" customHeight="1">
      <c r="A26" s="292"/>
      <c r="B26" s="298"/>
      <c r="C26" s="298"/>
      <c r="D26" s="215">
        <f aca="true" t="shared" si="5" ref="D26:N26">D29</f>
        <v>1156294.73</v>
      </c>
      <c r="E26" s="215">
        <f t="shared" si="5"/>
        <v>168078.91</v>
      </c>
      <c r="F26" s="215">
        <f t="shared" si="5"/>
        <v>168078.91</v>
      </c>
      <c r="G26" s="215">
        <f t="shared" si="5"/>
        <v>0</v>
      </c>
      <c r="H26" s="215">
        <f t="shared" si="5"/>
        <v>168078.91</v>
      </c>
      <c r="I26" s="215">
        <f t="shared" si="5"/>
        <v>0</v>
      </c>
      <c r="J26" s="215">
        <f t="shared" si="5"/>
        <v>0</v>
      </c>
      <c r="K26" s="215">
        <f t="shared" si="5"/>
        <v>0</v>
      </c>
      <c r="L26" s="215">
        <f t="shared" si="5"/>
        <v>0</v>
      </c>
      <c r="M26" s="215">
        <f t="shared" si="5"/>
        <v>0</v>
      </c>
      <c r="N26" s="215">
        <f t="shared" si="5"/>
        <v>988215.8200000001</v>
      </c>
    </row>
    <row r="27" spans="1:14" ht="18" customHeight="1">
      <c r="A27" s="292"/>
      <c r="B27" s="294" t="s">
        <v>202</v>
      </c>
      <c r="C27" s="294" t="s">
        <v>357</v>
      </c>
      <c r="D27" s="219">
        <f>E27+N27</f>
        <v>1290776</v>
      </c>
      <c r="E27" s="219" t="s">
        <v>356</v>
      </c>
      <c r="F27" s="219" t="s">
        <v>356</v>
      </c>
      <c r="G27" s="219"/>
      <c r="H27" s="219" t="s">
        <v>356</v>
      </c>
      <c r="I27" s="219"/>
      <c r="J27" s="219"/>
      <c r="K27" s="219"/>
      <c r="L27" s="219"/>
      <c r="M27" s="219"/>
      <c r="N27" s="219" t="s">
        <v>560</v>
      </c>
    </row>
    <row r="28" spans="1:14" ht="18" customHeight="1">
      <c r="A28" s="292"/>
      <c r="B28" s="295"/>
      <c r="C28" s="295"/>
      <c r="D28" s="219">
        <f>E28+N28</f>
        <v>1219412</v>
      </c>
      <c r="E28" s="219">
        <v>200000</v>
      </c>
      <c r="F28" s="219">
        <v>200000</v>
      </c>
      <c r="G28" s="219"/>
      <c r="H28" s="219">
        <v>200000</v>
      </c>
      <c r="I28" s="219"/>
      <c r="J28" s="219"/>
      <c r="K28" s="219"/>
      <c r="L28" s="219"/>
      <c r="M28" s="219"/>
      <c r="N28" s="219">
        <v>1019412</v>
      </c>
    </row>
    <row r="29" spans="1:14" ht="18" customHeight="1">
      <c r="A29" s="293"/>
      <c r="B29" s="287"/>
      <c r="C29" s="287"/>
      <c r="D29" s="219">
        <f>E29+N29</f>
        <v>1156294.73</v>
      </c>
      <c r="E29" s="219">
        <f>2128.44+165950.47</f>
        <v>168078.91</v>
      </c>
      <c r="F29" s="219">
        <v>168078.91</v>
      </c>
      <c r="G29" s="219"/>
      <c r="H29" s="219">
        <v>168078.91</v>
      </c>
      <c r="I29" s="219"/>
      <c r="J29" s="219"/>
      <c r="K29" s="219"/>
      <c r="L29" s="219"/>
      <c r="M29" s="219"/>
      <c r="N29" s="219">
        <f>704960.01+242353+40902.81</f>
        <v>988215.8200000001</v>
      </c>
    </row>
    <row r="30" spans="1:14" s="216" customFormat="1" ht="18" customHeight="1">
      <c r="A30" s="291" t="s">
        <v>358</v>
      </c>
      <c r="B30" s="296"/>
      <c r="C30" s="296" t="s">
        <v>359</v>
      </c>
      <c r="D30" s="215">
        <f>D33+D36</f>
        <v>3600000</v>
      </c>
      <c r="E30" s="215">
        <f aca="true" t="shared" si="6" ref="E30:N30">E33+E36</f>
        <v>20000</v>
      </c>
      <c r="F30" s="215">
        <f t="shared" si="6"/>
        <v>20000</v>
      </c>
      <c r="G30" s="215">
        <f t="shared" si="6"/>
        <v>0</v>
      </c>
      <c r="H30" s="215">
        <f t="shared" si="6"/>
        <v>20000</v>
      </c>
      <c r="I30" s="215">
        <f t="shared" si="6"/>
        <v>0</v>
      </c>
      <c r="J30" s="215">
        <f t="shared" si="6"/>
        <v>0</v>
      </c>
      <c r="K30" s="215">
        <f t="shared" si="6"/>
        <v>0</v>
      </c>
      <c r="L30" s="215">
        <f t="shared" si="6"/>
        <v>0</v>
      </c>
      <c r="M30" s="215">
        <f t="shared" si="6"/>
        <v>0</v>
      </c>
      <c r="N30" s="215">
        <f t="shared" si="6"/>
        <v>3580000</v>
      </c>
    </row>
    <row r="31" spans="1:14" s="216" customFormat="1" ht="18" customHeight="1">
      <c r="A31" s="292"/>
      <c r="B31" s="297"/>
      <c r="C31" s="297"/>
      <c r="D31" s="215">
        <f aca="true" t="shared" si="7" ref="D31:N32">D34+D37</f>
        <v>581000</v>
      </c>
      <c r="E31" s="215">
        <f t="shared" si="7"/>
        <v>181000</v>
      </c>
      <c r="F31" s="215">
        <f t="shared" si="7"/>
        <v>181000</v>
      </c>
      <c r="G31" s="215">
        <f t="shared" si="7"/>
        <v>0</v>
      </c>
      <c r="H31" s="215">
        <f t="shared" si="7"/>
        <v>181000</v>
      </c>
      <c r="I31" s="215">
        <f t="shared" si="7"/>
        <v>0</v>
      </c>
      <c r="J31" s="215">
        <f t="shared" si="7"/>
        <v>0</v>
      </c>
      <c r="K31" s="215">
        <f t="shared" si="7"/>
        <v>0</v>
      </c>
      <c r="L31" s="215">
        <f t="shared" si="7"/>
        <v>0</v>
      </c>
      <c r="M31" s="215">
        <f t="shared" si="7"/>
        <v>0</v>
      </c>
      <c r="N31" s="215">
        <f t="shared" si="7"/>
        <v>400000</v>
      </c>
    </row>
    <row r="32" spans="1:14" s="216" customFormat="1" ht="18" customHeight="1">
      <c r="A32" s="292"/>
      <c r="B32" s="298"/>
      <c r="C32" s="298"/>
      <c r="D32" s="215">
        <f t="shared" si="7"/>
        <v>299308.21</v>
      </c>
      <c r="E32" s="215">
        <f t="shared" si="7"/>
        <v>63319.67</v>
      </c>
      <c r="F32" s="215">
        <f t="shared" si="7"/>
        <v>63319.67</v>
      </c>
      <c r="G32" s="215">
        <f t="shared" si="7"/>
        <v>0</v>
      </c>
      <c r="H32" s="215">
        <f t="shared" si="7"/>
        <v>63319.67</v>
      </c>
      <c r="I32" s="215">
        <f t="shared" si="7"/>
        <v>0</v>
      </c>
      <c r="J32" s="215">
        <f t="shared" si="7"/>
        <v>0</v>
      </c>
      <c r="K32" s="215">
        <f t="shared" si="7"/>
        <v>0</v>
      </c>
      <c r="L32" s="215">
        <f t="shared" si="7"/>
        <v>0</v>
      </c>
      <c r="M32" s="215">
        <f t="shared" si="7"/>
        <v>0</v>
      </c>
      <c r="N32" s="215">
        <f t="shared" si="7"/>
        <v>235988.54</v>
      </c>
    </row>
    <row r="33" spans="1:14" ht="18" customHeight="1">
      <c r="A33" s="292"/>
      <c r="B33" s="294" t="s">
        <v>361</v>
      </c>
      <c r="C33" s="294" t="s">
        <v>362</v>
      </c>
      <c r="D33" s="219">
        <f aca="true" t="shared" si="8" ref="D33:D38">E33+N33</f>
        <v>3600000</v>
      </c>
      <c r="E33" s="219" t="s">
        <v>360</v>
      </c>
      <c r="F33" s="219" t="s">
        <v>360</v>
      </c>
      <c r="G33" s="219"/>
      <c r="H33" s="219" t="s">
        <v>360</v>
      </c>
      <c r="I33" s="219"/>
      <c r="J33" s="219"/>
      <c r="K33" s="219"/>
      <c r="L33" s="219"/>
      <c r="M33" s="219"/>
      <c r="N33" s="219" t="s">
        <v>561</v>
      </c>
    </row>
    <row r="34" spans="1:14" ht="18" customHeight="1">
      <c r="A34" s="292"/>
      <c r="B34" s="295"/>
      <c r="C34" s="295"/>
      <c r="D34" s="219">
        <f t="shared" si="8"/>
        <v>573000</v>
      </c>
      <c r="E34" s="219">
        <v>173000</v>
      </c>
      <c r="F34" s="219">
        <v>173000</v>
      </c>
      <c r="G34" s="219"/>
      <c r="H34" s="219">
        <v>173000</v>
      </c>
      <c r="I34" s="219"/>
      <c r="J34" s="219"/>
      <c r="K34" s="219"/>
      <c r="L34" s="219"/>
      <c r="M34" s="219"/>
      <c r="N34" s="219">
        <v>400000</v>
      </c>
    </row>
    <row r="35" spans="1:14" ht="18" customHeight="1">
      <c r="A35" s="293"/>
      <c r="B35" s="287"/>
      <c r="C35" s="287"/>
      <c r="D35" s="219">
        <f t="shared" si="8"/>
        <v>299308.21</v>
      </c>
      <c r="E35" s="219">
        <v>63319.67</v>
      </c>
      <c r="F35" s="219">
        <v>63319.67</v>
      </c>
      <c r="G35" s="219"/>
      <c r="H35" s="219">
        <f>51539.56+11780.11</f>
        <v>63319.67</v>
      </c>
      <c r="I35" s="219"/>
      <c r="J35" s="219"/>
      <c r="K35" s="219"/>
      <c r="L35" s="219"/>
      <c r="M35" s="219"/>
      <c r="N35" s="219">
        <v>235988.54</v>
      </c>
    </row>
    <row r="36" spans="1:14" ht="18" customHeight="1">
      <c r="A36" s="217"/>
      <c r="B36" s="294" t="s">
        <v>716</v>
      </c>
      <c r="C36" s="294" t="s">
        <v>717</v>
      </c>
      <c r="D36" s="219">
        <f t="shared" si="8"/>
        <v>0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14" ht="18" customHeight="1">
      <c r="A37" s="217"/>
      <c r="B37" s="295"/>
      <c r="C37" s="295"/>
      <c r="D37" s="219">
        <f t="shared" si="8"/>
        <v>8000</v>
      </c>
      <c r="E37" s="219">
        <v>8000</v>
      </c>
      <c r="F37" s="219">
        <v>8000</v>
      </c>
      <c r="G37" s="219"/>
      <c r="H37" s="219">
        <v>8000</v>
      </c>
      <c r="I37" s="219"/>
      <c r="J37" s="219"/>
      <c r="K37" s="219"/>
      <c r="L37" s="219"/>
      <c r="M37" s="219"/>
      <c r="N37" s="219"/>
    </row>
    <row r="38" spans="1:14" ht="18" customHeight="1">
      <c r="A38" s="217"/>
      <c r="B38" s="287"/>
      <c r="C38" s="287"/>
      <c r="D38" s="219">
        <f t="shared" si="8"/>
        <v>0</v>
      </c>
      <c r="E38" s="219">
        <v>0</v>
      </c>
      <c r="F38" s="219">
        <v>0</v>
      </c>
      <c r="G38" s="219"/>
      <c r="H38" s="219">
        <v>0</v>
      </c>
      <c r="I38" s="219"/>
      <c r="J38" s="219"/>
      <c r="K38" s="219"/>
      <c r="L38" s="219"/>
      <c r="M38" s="219"/>
      <c r="N38" s="219"/>
    </row>
    <row r="39" spans="1:14" s="216" customFormat="1" ht="18" customHeight="1">
      <c r="A39" s="291" t="s">
        <v>248</v>
      </c>
      <c r="B39" s="296"/>
      <c r="C39" s="296" t="s">
        <v>249</v>
      </c>
      <c r="D39" s="215">
        <f>D42+D45+D48+D51+D54</f>
        <v>10812560.91</v>
      </c>
      <c r="E39" s="215">
        <f aca="true" t="shared" si="9" ref="E39:N39">E42+E45+E48+E51+E54</f>
        <v>1126360.91</v>
      </c>
      <c r="F39" s="215">
        <f t="shared" si="9"/>
        <v>1126360.91</v>
      </c>
      <c r="G39" s="215">
        <f t="shared" si="9"/>
        <v>2500</v>
      </c>
      <c r="H39" s="215">
        <f t="shared" si="9"/>
        <v>1123860.91</v>
      </c>
      <c r="I39" s="215">
        <f t="shared" si="9"/>
        <v>0</v>
      </c>
      <c r="J39" s="215">
        <f t="shared" si="9"/>
        <v>0</v>
      </c>
      <c r="K39" s="215">
        <f t="shared" si="9"/>
        <v>0</v>
      </c>
      <c r="L39" s="215">
        <f t="shared" si="9"/>
        <v>0</v>
      </c>
      <c r="M39" s="215">
        <f t="shared" si="9"/>
        <v>0</v>
      </c>
      <c r="N39" s="215">
        <f t="shared" si="9"/>
        <v>9686200</v>
      </c>
    </row>
    <row r="40" spans="1:14" s="216" customFormat="1" ht="18" customHeight="1">
      <c r="A40" s="292"/>
      <c r="B40" s="297"/>
      <c r="C40" s="297"/>
      <c r="D40" s="215">
        <f aca="true" t="shared" si="10" ref="D40:N41">D43+D46+D49+D52+D55</f>
        <v>7305753.7</v>
      </c>
      <c r="E40" s="215">
        <f t="shared" si="10"/>
        <v>483187.69999999995</v>
      </c>
      <c r="F40" s="215">
        <f t="shared" si="10"/>
        <v>483187.69999999995</v>
      </c>
      <c r="G40" s="215">
        <f t="shared" si="10"/>
        <v>3347.19</v>
      </c>
      <c r="H40" s="215">
        <f t="shared" si="10"/>
        <v>479840.50999999995</v>
      </c>
      <c r="I40" s="215">
        <f t="shared" si="10"/>
        <v>0</v>
      </c>
      <c r="J40" s="215">
        <f t="shared" si="10"/>
        <v>0</v>
      </c>
      <c r="K40" s="215">
        <f t="shared" si="10"/>
        <v>0</v>
      </c>
      <c r="L40" s="215">
        <f t="shared" si="10"/>
        <v>0</v>
      </c>
      <c r="M40" s="215">
        <f t="shared" si="10"/>
        <v>0</v>
      </c>
      <c r="N40" s="215">
        <f t="shared" si="10"/>
        <v>6822566</v>
      </c>
    </row>
    <row r="41" spans="1:14" s="216" customFormat="1" ht="18" customHeight="1">
      <c r="A41" s="292"/>
      <c r="B41" s="298"/>
      <c r="C41" s="298"/>
      <c r="D41" s="215">
        <f t="shared" si="10"/>
        <v>6979498.61</v>
      </c>
      <c r="E41" s="215">
        <f t="shared" si="10"/>
        <v>444634.1100000002</v>
      </c>
      <c r="F41" s="215">
        <f t="shared" si="10"/>
        <v>444634.11</v>
      </c>
      <c r="G41" s="215">
        <f t="shared" si="10"/>
        <v>3347.19</v>
      </c>
      <c r="H41" s="215">
        <f t="shared" si="10"/>
        <v>441286.92</v>
      </c>
      <c r="I41" s="215">
        <f t="shared" si="10"/>
        <v>0</v>
      </c>
      <c r="J41" s="215">
        <f t="shared" si="10"/>
        <v>0</v>
      </c>
      <c r="K41" s="215">
        <f t="shared" si="10"/>
        <v>0</v>
      </c>
      <c r="L41" s="215">
        <f t="shared" si="10"/>
        <v>0</v>
      </c>
      <c r="M41" s="215">
        <f t="shared" si="10"/>
        <v>0</v>
      </c>
      <c r="N41" s="215">
        <f t="shared" si="10"/>
        <v>6534864.5</v>
      </c>
    </row>
    <row r="42" spans="1:14" ht="18" customHeight="1">
      <c r="A42" s="292"/>
      <c r="B42" s="294" t="s">
        <v>363</v>
      </c>
      <c r="C42" s="294" t="s">
        <v>364</v>
      </c>
      <c r="D42" s="219">
        <f aca="true" t="shared" si="11" ref="D42:D54">E42+N42</f>
        <v>72561.91</v>
      </c>
      <c r="E42" s="219" t="s">
        <v>563</v>
      </c>
      <c r="F42" s="219" t="s">
        <v>563</v>
      </c>
      <c r="G42" s="219" t="s">
        <v>562</v>
      </c>
      <c r="H42" s="219" t="s">
        <v>564</v>
      </c>
      <c r="I42" s="219"/>
      <c r="J42" s="219"/>
      <c r="K42" s="219"/>
      <c r="L42" s="219"/>
      <c r="M42" s="219"/>
      <c r="N42" s="219"/>
    </row>
    <row r="43" spans="1:14" ht="18" customHeight="1">
      <c r="A43" s="292"/>
      <c r="B43" s="295"/>
      <c r="C43" s="295"/>
      <c r="D43" s="219">
        <f t="shared" si="11"/>
        <v>90341.91</v>
      </c>
      <c r="E43" s="219">
        <v>22061.91</v>
      </c>
      <c r="F43" s="219">
        <v>22061.91</v>
      </c>
      <c r="G43" s="219"/>
      <c r="H43" s="219">
        <v>22061.91</v>
      </c>
      <c r="I43" s="219"/>
      <c r="J43" s="219"/>
      <c r="K43" s="219"/>
      <c r="L43" s="219"/>
      <c r="M43" s="219"/>
      <c r="N43" s="219">
        <v>68280</v>
      </c>
    </row>
    <row r="44" spans="1:14" ht="18" customHeight="1">
      <c r="A44" s="292"/>
      <c r="B44" s="287"/>
      <c r="C44" s="287"/>
      <c r="D44" s="219">
        <f t="shared" si="11"/>
        <v>87811.55</v>
      </c>
      <c r="E44" s="219">
        <f>87811.55-67530</f>
        <v>20281.550000000003</v>
      </c>
      <c r="F44" s="219">
        <v>20281.55</v>
      </c>
      <c r="G44" s="219"/>
      <c r="H44" s="219">
        <v>20281.55</v>
      </c>
      <c r="I44" s="219"/>
      <c r="J44" s="219"/>
      <c r="K44" s="219"/>
      <c r="L44" s="219"/>
      <c r="M44" s="219"/>
      <c r="N44" s="219">
        <v>67530</v>
      </c>
    </row>
    <row r="45" spans="1:14" ht="18" customHeight="1">
      <c r="A45" s="292"/>
      <c r="B45" s="294" t="s">
        <v>365</v>
      </c>
      <c r="C45" s="294" t="s">
        <v>366</v>
      </c>
      <c r="D45" s="219">
        <f t="shared" si="11"/>
        <v>238000</v>
      </c>
      <c r="E45" s="219" t="s">
        <v>367</v>
      </c>
      <c r="F45" s="219" t="s">
        <v>367</v>
      </c>
      <c r="G45" s="219"/>
      <c r="H45" s="219" t="s">
        <v>367</v>
      </c>
      <c r="I45" s="219"/>
      <c r="J45" s="219"/>
      <c r="K45" s="219"/>
      <c r="L45" s="219"/>
      <c r="M45" s="219"/>
      <c r="N45" s="219" t="s">
        <v>565</v>
      </c>
    </row>
    <row r="46" spans="1:14" ht="18" customHeight="1">
      <c r="A46" s="292"/>
      <c r="B46" s="295"/>
      <c r="C46" s="295"/>
      <c r="D46" s="219">
        <f t="shared" si="11"/>
        <v>255000</v>
      </c>
      <c r="E46" s="219">
        <v>5000</v>
      </c>
      <c r="F46" s="219">
        <v>5000</v>
      </c>
      <c r="G46" s="219"/>
      <c r="H46" s="219">
        <v>5000</v>
      </c>
      <c r="I46" s="219"/>
      <c r="J46" s="219"/>
      <c r="K46" s="219"/>
      <c r="L46" s="219"/>
      <c r="M46" s="219"/>
      <c r="N46" s="219">
        <v>250000</v>
      </c>
    </row>
    <row r="47" spans="1:14" ht="18" customHeight="1">
      <c r="A47" s="292"/>
      <c r="B47" s="287"/>
      <c r="C47" s="287"/>
      <c r="D47" s="219">
        <f t="shared" si="11"/>
        <v>206252.43</v>
      </c>
      <c r="E47" s="219">
        <f>633+1681.24</f>
        <v>2314.24</v>
      </c>
      <c r="F47" s="219">
        <v>2314.24</v>
      </c>
      <c r="G47" s="219"/>
      <c r="H47" s="219">
        <v>2314.24</v>
      </c>
      <c r="I47" s="219"/>
      <c r="J47" s="219"/>
      <c r="K47" s="219"/>
      <c r="L47" s="219"/>
      <c r="M47" s="219"/>
      <c r="N47" s="219">
        <f>61394.06+142544.13</f>
        <v>203938.19</v>
      </c>
    </row>
    <row r="48" spans="1:14" ht="18" customHeight="1">
      <c r="A48" s="292"/>
      <c r="B48" s="294" t="s">
        <v>368</v>
      </c>
      <c r="C48" s="294" t="s">
        <v>369</v>
      </c>
      <c r="D48" s="219">
        <f t="shared" si="11"/>
        <v>445200</v>
      </c>
      <c r="E48" s="219"/>
      <c r="F48" s="219"/>
      <c r="G48" s="219"/>
      <c r="H48" s="219"/>
      <c r="I48" s="219"/>
      <c r="J48" s="219"/>
      <c r="K48" s="219"/>
      <c r="L48" s="219"/>
      <c r="M48" s="219"/>
      <c r="N48" s="219" t="s">
        <v>566</v>
      </c>
    </row>
    <row r="49" spans="1:14" ht="18" customHeight="1">
      <c r="A49" s="292"/>
      <c r="B49" s="295"/>
      <c r="C49" s="295"/>
      <c r="D49" s="219">
        <f t="shared" si="11"/>
        <v>445200</v>
      </c>
      <c r="E49" s="219"/>
      <c r="F49" s="219"/>
      <c r="G49" s="219"/>
      <c r="H49" s="219"/>
      <c r="I49" s="219"/>
      <c r="J49" s="219"/>
      <c r="K49" s="219"/>
      <c r="L49" s="219"/>
      <c r="M49" s="219"/>
      <c r="N49" s="219">
        <v>445200</v>
      </c>
    </row>
    <row r="50" spans="1:14" ht="18" customHeight="1">
      <c r="A50" s="292"/>
      <c r="B50" s="287"/>
      <c r="C50" s="287"/>
      <c r="D50" s="219">
        <f t="shared" si="11"/>
        <v>306860.47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>
        <v>306860.47</v>
      </c>
    </row>
    <row r="51" spans="1:14" ht="18" customHeight="1">
      <c r="A51" s="292"/>
      <c r="B51" s="294" t="s">
        <v>370</v>
      </c>
      <c r="C51" s="294" t="s">
        <v>371</v>
      </c>
      <c r="D51" s="219">
        <f t="shared" si="11"/>
        <v>8529700</v>
      </c>
      <c r="E51" s="219" t="s">
        <v>567</v>
      </c>
      <c r="F51" s="219" t="s">
        <v>567</v>
      </c>
      <c r="G51" s="219"/>
      <c r="H51" s="219" t="s">
        <v>567</v>
      </c>
      <c r="I51" s="219"/>
      <c r="J51" s="219"/>
      <c r="K51" s="219"/>
      <c r="L51" s="219"/>
      <c r="M51" s="219"/>
      <c r="N51" s="219" t="s">
        <v>568</v>
      </c>
    </row>
    <row r="52" spans="1:14" ht="18" customHeight="1">
      <c r="A52" s="292"/>
      <c r="B52" s="295"/>
      <c r="C52" s="295"/>
      <c r="D52" s="219">
        <f t="shared" si="11"/>
        <v>6343112.79</v>
      </c>
      <c r="E52" s="219">
        <v>434026.79</v>
      </c>
      <c r="F52" s="219">
        <v>434026.79</v>
      </c>
      <c r="G52" s="219">
        <v>3347.19</v>
      </c>
      <c r="H52" s="219">
        <v>430679.6</v>
      </c>
      <c r="I52" s="219"/>
      <c r="J52" s="219"/>
      <c r="K52" s="219"/>
      <c r="L52" s="219"/>
      <c r="M52" s="219"/>
      <c r="N52" s="219">
        <v>5909086</v>
      </c>
    </row>
    <row r="53" spans="1:14" ht="18" customHeight="1">
      <c r="A53" s="292"/>
      <c r="B53" s="287"/>
      <c r="C53" s="287"/>
      <c r="D53" s="219">
        <f t="shared" si="11"/>
        <v>6254390.96</v>
      </c>
      <c r="E53" s="219">
        <f>6254390.96-5851958.72</f>
        <v>402432.2400000002</v>
      </c>
      <c r="F53" s="219">
        <v>402432.24</v>
      </c>
      <c r="G53" s="219">
        <f>238.05+3109.14</f>
        <v>3347.19</v>
      </c>
      <c r="H53" s="219">
        <f>402432.24-G53</f>
        <v>399085.05</v>
      </c>
      <c r="I53" s="219"/>
      <c r="J53" s="219"/>
      <c r="K53" s="219"/>
      <c r="L53" s="219"/>
      <c r="M53" s="219"/>
      <c r="N53" s="219">
        <v>5851958.72</v>
      </c>
    </row>
    <row r="54" spans="1:14" ht="18" customHeight="1">
      <c r="A54" s="292"/>
      <c r="B54" s="294" t="s">
        <v>372</v>
      </c>
      <c r="C54" s="294" t="s">
        <v>373</v>
      </c>
      <c r="D54" s="219">
        <f t="shared" si="11"/>
        <v>1527099</v>
      </c>
      <c r="E54" s="219" t="s">
        <v>569</v>
      </c>
      <c r="F54" s="219" t="s">
        <v>569</v>
      </c>
      <c r="G54" s="219"/>
      <c r="H54" s="219" t="s">
        <v>569</v>
      </c>
      <c r="I54" s="219"/>
      <c r="J54" s="219"/>
      <c r="K54" s="219"/>
      <c r="L54" s="219"/>
      <c r="M54" s="219"/>
      <c r="N54" s="219" t="s">
        <v>570</v>
      </c>
    </row>
    <row r="55" spans="1:14" ht="18" customHeight="1">
      <c r="A55" s="292"/>
      <c r="B55" s="295"/>
      <c r="C55" s="295"/>
      <c r="D55" s="219">
        <f>E55+N55</f>
        <v>172099</v>
      </c>
      <c r="E55" s="219">
        <v>22099</v>
      </c>
      <c r="F55" s="219">
        <v>22099</v>
      </c>
      <c r="G55" s="219"/>
      <c r="H55" s="219">
        <v>22099</v>
      </c>
      <c r="I55" s="219"/>
      <c r="J55" s="219"/>
      <c r="K55" s="219"/>
      <c r="L55" s="219"/>
      <c r="M55" s="219"/>
      <c r="N55" s="219">
        <v>150000</v>
      </c>
    </row>
    <row r="56" spans="1:14" ht="18" customHeight="1">
      <c r="A56" s="293"/>
      <c r="B56" s="287"/>
      <c r="C56" s="287"/>
      <c r="D56" s="219">
        <f>E56+N56</f>
        <v>124183.2</v>
      </c>
      <c r="E56" s="219">
        <v>19606.08</v>
      </c>
      <c r="F56" s="219">
        <v>19606.08</v>
      </c>
      <c r="G56" s="219"/>
      <c r="H56" s="219">
        <f>124183.2-104577.12</f>
        <v>19606.08</v>
      </c>
      <c r="I56" s="219"/>
      <c r="J56" s="219"/>
      <c r="K56" s="219"/>
      <c r="L56" s="219"/>
      <c r="M56" s="219"/>
      <c r="N56" s="219">
        <v>104577.12</v>
      </c>
    </row>
    <row r="57" spans="1:14" s="216" customFormat="1" ht="18" customHeight="1">
      <c r="A57" s="291" t="s">
        <v>327</v>
      </c>
      <c r="B57" s="296"/>
      <c r="C57" s="296" t="s">
        <v>328</v>
      </c>
      <c r="D57" s="215">
        <f>D60+D63</f>
        <v>5290500</v>
      </c>
      <c r="E57" s="215">
        <f aca="true" t="shared" si="12" ref="E57:N57">E60+E63</f>
        <v>60500</v>
      </c>
      <c r="F57" s="215">
        <f t="shared" si="12"/>
        <v>45500</v>
      </c>
      <c r="G57" s="215">
        <f t="shared" si="12"/>
        <v>16500</v>
      </c>
      <c r="H57" s="215">
        <f t="shared" si="12"/>
        <v>29000</v>
      </c>
      <c r="I57" s="215">
        <f t="shared" si="12"/>
        <v>15000</v>
      </c>
      <c r="J57" s="215">
        <f t="shared" si="12"/>
        <v>0</v>
      </c>
      <c r="K57" s="215">
        <f t="shared" si="12"/>
        <v>0</v>
      </c>
      <c r="L57" s="215">
        <f t="shared" si="12"/>
        <v>0</v>
      </c>
      <c r="M57" s="215">
        <f t="shared" si="12"/>
        <v>0</v>
      </c>
      <c r="N57" s="215">
        <f t="shared" si="12"/>
        <v>5230000</v>
      </c>
    </row>
    <row r="58" spans="1:14" s="216" customFormat="1" ht="18" customHeight="1">
      <c r="A58" s="292"/>
      <c r="B58" s="297"/>
      <c r="C58" s="297"/>
      <c r="D58" s="215">
        <f aca="true" t="shared" si="13" ref="D58:N58">D61+D64</f>
        <v>8954223</v>
      </c>
      <c r="E58" s="215">
        <f t="shared" si="13"/>
        <v>46184.56</v>
      </c>
      <c r="F58" s="215">
        <f t="shared" si="13"/>
        <v>31184.559999999998</v>
      </c>
      <c r="G58" s="215">
        <f t="shared" si="13"/>
        <v>7306.7</v>
      </c>
      <c r="H58" s="215">
        <f t="shared" si="13"/>
        <v>23877.86</v>
      </c>
      <c r="I58" s="215">
        <f t="shared" si="13"/>
        <v>15000</v>
      </c>
      <c r="J58" s="215">
        <f t="shared" si="13"/>
        <v>0</v>
      </c>
      <c r="K58" s="215">
        <f t="shared" si="13"/>
        <v>0</v>
      </c>
      <c r="L58" s="215">
        <f t="shared" si="13"/>
        <v>0</v>
      </c>
      <c r="M58" s="215">
        <f t="shared" si="13"/>
        <v>0</v>
      </c>
      <c r="N58" s="215">
        <f t="shared" si="13"/>
        <v>8908038.44</v>
      </c>
    </row>
    <row r="59" spans="1:14" s="216" customFormat="1" ht="18" customHeight="1">
      <c r="A59" s="292"/>
      <c r="B59" s="298"/>
      <c r="C59" s="298"/>
      <c r="D59" s="215">
        <f aca="true" t="shared" si="14" ref="D59:N59">D62+D65</f>
        <v>8950129.99</v>
      </c>
      <c r="E59" s="215">
        <f t="shared" si="14"/>
        <v>44884.56</v>
      </c>
      <c r="F59" s="215">
        <f t="shared" si="14"/>
        <v>31184.559999999998</v>
      </c>
      <c r="G59" s="215">
        <f t="shared" si="14"/>
        <v>7306.7</v>
      </c>
      <c r="H59" s="215">
        <f t="shared" si="14"/>
        <v>23877.86</v>
      </c>
      <c r="I59" s="215">
        <f t="shared" si="14"/>
        <v>13700</v>
      </c>
      <c r="J59" s="215">
        <f t="shared" si="14"/>
        <v>0</v>
      </c>
      <c r="K59" s="215">
        <f t="shared" si="14"/>
        <v>0</v>
      </c>
      <c r="L59" s="215">
        <f t="shared" si="14"/>
        <v>0</v>
      </c>
      <c r="M59" s="215">
        <f t="shared" si="14"/>
        <v>0</v>
      </c>
      <c r="N59" s="215">
        <f t="shared" si="14"/>
        <v>8905245.43</v>
      </c>
    </row>
    <row r="60" spans="1:14" ht="18" customHeight="1">
      <c r="A60" s="292"/>
      <c r="B60" s="294" t="s">
        <v>175</v>
      </c>
      <c r="C60" s="294" t="s">
        <v>376</v>
      </c>
      <c r="D60" s="219">
        <f aca="true" t="shared" si="15" ref="D60:D65">E60+N60</f>
        <v>5260000</v>
      </c>
      <c r="E60" s="219" t="s">
        <v>377</v>
      </c>
      <c r="F60" s="219" t="s">
        <v>375</v>
      </c>
      <c r="G60" s="219"/>
      <c r="H60" s="219" t="s">
        <v>375</v>
      </c>
      <c r="I60" s="219" t="s">
        <v>375</v>
      </c>
      <c r="J60" s="219"/>
      <c r="K60" s="219"/>
      <c r="L60" s="219"/>
      <c r="M60" s="219"/>
      <c r="N60" s="219" t="s">
        <v>571</v>
      </c>
    </row>
    <row r="61" spans="1:14" ht="18" customHeight="1">
      <c r="A61" s="292"/>
      <c r="B61" s="295"/>
      <c r="C61" s="295"/>
      <c r="D61" s="219">
        <f t="shared" si="15"/>
        <v>8938394.42</v>
      </c>
      <c r="E61" s="219">
        <v>30355.98</v>
      </c>
      <c r="F61" s="219">
        <v>15355.98</v>
      </c>
      <c r="G61" s="219"/>
      <c r="H61" s="219">
        <v>15355.98</v>
      </c>
      <c r="I61" s="219">
        <v>15000</v>
      </c>
      <c r="J61" s="219"/>
      <c r="K61" s="219"/>
      <c r="L61" s="219"/>
      <c r="M61" s="219"/>
      <c r="N61" s="219">
        <v>8908038.44</v>
      </c>
    </row>
    <row r="62" spans="1:14" ht="18" customHeight="1">
      <c r="A62" s="292"/>
      <c r="B62" s="287"/>
      <c r="C62" s="287"/>
      <c r="D62" s="219">
        <f t="shared" si="15"/>
        <v>8934301.41</v>
      </c>
      <c r="E62" s="219">
        <f>F62+I62</f>
        <v>29055.98</v>
      </c>
      <c r="F62" s="219">
        <v>15355.98</v>
      </c>
      <c r="G62" s="219"/>
      <c r="H62" s="219">
        <v>15355.98</v>
      </c>
      <c r="I62" s="219">
        <v>13700</v>
      </c>
      <c r="J62" s="219"/>
      <c r="K62" s="219"/>
      <c r="L62" s="219"/>
      <c r="M62" s="219"/>
      <c r="N62" s="219">
        <f>476152.59+4274901.4+4154191.44</f>
        <v>8905245.43</v>
      </c>
    </row>
    <row r="63" spans="1:14" ht="18" customHeight="1">
      <c r="A63" s="292"/>
      <c r="B63" s="294" t="s">
        <v>378</v>
      </c>
      <c r="C63" s="294" t="s">
        <v>355</v>
      </c>
      <c r="D63" s="219">
        <f t="shared" si="15"/>
        <v>30500</v>
      </c>
      <c r="E63" s="219" t="s">
        <v>379</v>
      </c>
      <c r="F63" s="219" t="s">
        <v>379</v>
      </c>
      <c r="G63" s="219" t="s">
        <v>374</v>
      </c>
      <c r="H63" s="219" t="s">
        <v>380</v>
      </c>
      <c r="I63" s="219"/>
      <c r="J63" s="219"/>
      <c r="K63" s="219"/>
      <c r="L63" s="219"/>
      <c r="M63" s="219"/>
      <c r="N63" s="219"/>
    </row>
    <row r="64" spans="1:14" ht="18" customHeight="1">
      <c r="A64" s="292"/>
      <c r="B64" s="295"/>
      <c r="C64" s="295"/>
      <c r="D64" s="219">
        <f t="shared" si="15"/>
        <v>15828.58</v>
      </c>
      <c r="E64" s="219">
        <v>15828.58</v>
      </c>
      <c r="F64" s="219">
        <v>15828.58</v>
      </c>
      <c r="G64" s="219">
        <v>7306.7</v>
      </c>
      <c r="H64" s="219">
        <v>8521.88</v>
      </c>
      <c r="I64" s="219"/>
      <c r="J64" s="219"/>
      <c r="K64" s="219"/>
      <c r="L64" s="219"/>
      <c r="M64" s="219"/>
      <c r="N64" s="219"/>
    </row>
    <row r="65" spans="1:14" ht="18" customHeight="1">
      <c r="A65" s="293"/>
      <c r="B65" s="287"/>
      <c r="C65" s="287"/>
      <c r="D65" s="219">
        <f t="shared" si="15"/>
        <v>15828.58</v>
      </c>
      <c r="E65" s="219">
        <v>15828.58</v>
      </c>
      <c r="F65" s="219">
        <v>15828.58</v>
      </c>
      <c r="G65" s="219">
        <v>7306.7</v>
      </c>
      <c r="H65" s="219">
        <f>15828.58-7306.7</f>
        <v>8521.880000000001</v>
      </c>
      <c r="I65" s="219"/>
      <c r="J65" s="219"/>
      <c r="K65" s="219"/>
      <c r="L65" s="219"/>
      <c r="M65" s="219"/>
      <c r="N65" s="219"/>
    </row>
    <row r="66" spans="1:14" s="216" customFormat="1" ht="18" customHeight="1">
      <c r="A66" s="291" t="s">
        <v>252</v>
      </c>
      <c r="B66" s="296"/>
      <c r="C66" s="296" t="s">
        <v>253</v>
      </c>
      <c r="D66" s="215">
        <f>D69</f>
        <v>6184000</v>
      </c>
      <c r="E66" s="215" t="str">
        <f aca="true" t="shared" si="16" ref="E66:N66">E69</f>
        <v>184 000,00</v>
      </c>
      <c r="F66" s="215" t="str">
        <f t="shared" si="16"/>
        <v>184 000,00</v>
      </c>
      <c r="G66" s="215" t="str">
        <f t="shared" si="16"/>
        <v>2 000,00</v>
      </c>
      <c r="H66" s="215" t="str">
        <f t="shared" si="16"/>
        <v>182 000,00</v>
      </c>
      <c r="I66" s="215">
        <f t="shared" si="16"/>
        <v>0</v>
      </c>
      <c r="J66" s="215">
        <f t="shared" si="16"/>
        <v>0</v>
      </c>
      <c r="K66" s="215">
        <f t="shared" si="16"/>
        <v>0</v>
      </c>
      <c r="L66" s="215">
        <f t="shared" si="16"/>
        <v>0</v>
      </c>
      <c r="M66" s="215">
        <f t="shared" si="16"/>
        <v>0</v>
      </c>
      <c r="N66" s="215" t="str">
        <f t="shared" si="16"/>
        <v>6 000 000,00</v>
      </c>
    </row>
    <row r="67" spans="1:14" s="216" customFormat="1" ht="18" customHeight="1">
      <c r="A67" s="292"/>
      <c r="B67" s="299"/>
      <c r="C67" s="299"/>
      <c r="D67" s="215">
        <f aca="true" t="shared" si="17" ref="D67:N68">D70</f>
        <v>1659435.9</v>
      </c>
      <c r="E67" s="215">
        <f t="shared" si="17"/>
        <v>233435.9</v>
      </c>
      <c r="F67" s="215">
        <f t="shared" si="17"/>
        <v>233435.9</v>
      </c>
      <c r="G67" s="215">
        <f t="shared" si="17"/>
        <v>18500</v>
      </c>
      <c r="H67" s="215">
        <f t="shared" si="17"/>
        <v>214935.9</v>
      </c>
      <c r="I67" s="215">
        <f t="shared" si="17"/>
        <v>0</v>
      </c>
      <c r="J67" s="215">
        <f t="shared" si="17"/>
        <v>0</v>
      </c>
      <c r="K67" s="215">
        <f t="shared" si="17"/>
        <v>0</v>
      </c>
      <c r="L67" s="215">
        <f t="shared" si="17"/>
        <v>0</v>
      </c>
      <c r="M67" s="215">
        <f t="shared" si="17"/>
        <v>0</v>
      </c>
      <c r="N67" s="215">
        <f t="shared" si="17"/>
        <v>1426000</v>
      </c>
    </row>
    <row r="68" spans="1:14" s="216" customFormat="1" ht="18" customHeight="1">
      <c r="A68" s="292"/>
      <c r="B68" s="300"/>
      <c r="C68" s="300"/>
      <c r="D68" s="215">
        <f t="shared" si="17"/>
        <v>1454318.48</v>
      </c>
      <c r="E68" s="215">
        <f t="shared" si="17"/>
        <v>214854.11999999988</v>
      </c>
      <c r="F68" s="215">
        <f t="shared" si="17"/>
        <v>214854.12</v>
      </c>
      <c r="G68" s="215">
        <f t="shared" si="17"/>
        <v>17842.41</v>
      </c>
      <c r="H68" s="215">
        <f t="shared" si="17"/>
        <v>197011.71</v>
      </c>
      <c r="I68" s="215">
        <f t="shared" si="17"/>
        <v>0</v>
      </c>
      <c r="J68" s="215">
        <f t="shared" si="17"/>
        <v>0</v>
      </c>
      <c r="K68" s="215">
        <f t="shared" si="17"/>
        <v>0</v>
      </c>
      <c r="L68" s="215">
        <f t="shared" si="17"/>
        <v>0</v>
      </c>
      <c r="M68" s="215">
        <f t="shared" si="17"/>
        <v>0</v>
      </c>
      <c r="N68" s="215">
        <f t="shared" si="17"/>
        <v>1239464.36</v>
      </c>
    </row>
    <row r="69" spans="1:14" ht="18" customHeight="1">
      <c r="A69" s="292"/>
      <c r="B69" s="294" t="s">
        <v>384</v>
      </c>
      <c r="C69" s="294" t="s">
        <v>385</v>
      </c>
      <c r="D69" s="219">
        <f>E69+N69</f>
        <v>6184000</v>
      </c>
      <c r="E69" s="219" t="s">
        <v>381</v>
      </c>
      <c r="F69" s="219" t="s">
        <v>381</v>
      </c>
      <c r="G69" s="219" t="s">
        <v>382</v>
      </c>
      <c r="H69" s="219" t="s">
        <v>383</v>
      </c>
      <c r="I69" s="219"/>
      <c r="J69" s="219"/>
      <c r="K69" s="219"/>
      <c r="L69" s="219"/>
      <c r="M69" s="219"/>
      <c r="N69" s="219" t="s">
        <v>572</v>
      </c>
    </row>
    <row r="70" spans="1:14" ht="18" customHeight="1">
      <c r="A70" s="292"/>
      <c r="B70" s="295"/>
      <c r="C70" s="295"/>
      <c r="D70" s="219">
        <f>E70+N70</f>
        <v>1659435.9</v>
      </c>
      <c r="E70" s="219">
        <v>233435.9</v>
      </c>
      <c r="F70" s="219">
        <v>233435.9</v>
      </c>
      <c r="G70" s="219">
        <v>18500</v>
      </c>
      <c r="H70" s="219">
        <v>214935.9</v>
      </c>
      <c r="I70" s="219"/>
      <c r="J70" s="219"/>
      <c r="K70" s="219"/>
      <c r="L70" s="219"/>
      <c r="M70" s="219"/>
      <c r="N70" s="219">
        <v>1426000</v>
      </c>
    </row>
    <row r="71" spans="1:14" ht="18" customHeight="1">
      <c r="A71" s="293"/>
      <c r="B71" s="287"/>
      <c r="C71" s="287"/>
      <c r="D71" s="219">
        <f>E71+N71</f>
        <v>1454318.48</v>
      </c>
      <c r="E71" s="219">
        <f>1454318.48-1239464.36</f>
        <v>214854.11999999988</v>
      </c>
      <c r="F71" s="219">
        <v>214854.12</v>
      </c>
      <c r="G71" s="219">
        <f>186.99+6.68+17648.74</f>
        <v>17842.41</v>
      </c>
      <c r="H71" s="219">
        <f>F71-G71</f>
        <v>197011.71</v>
      </c>
      <c r="I71" s="219"/>
      <c r="J71" s="219"/>
      <c r="K71" s="219"/>
      <c r="L71" s="219"/>
      <c r="M71" s="219"/>
      <c r="N71" s="219">
        <v>1239464.36</v>
      </c>
    </row>
    <row r="72" spans="1:14" s="216" customFormat="1" ht="18" customHeight="1">
      <c r="A72" s="291" t="s">
        <v>258</v>
      </c>
      <c r="B72" s="296"/>
      <c r="C72" s="296" t="s">
        <v>259</v>
      </c>
      <c r="D72" s="215">
        <f>D75+D78</f>
        <v>627000</v>
      </c>
      <c r="E72" s="215">
        <f aca="true" t="shared" si="18" ref="E72:N72">E75+E78</f>
        <v>627000</v>
      </c>
      <c r="F72" s="215">
        <f t="shared" si="18"/>
        <v>627000</v>
      </c>
      <c r="G72" s="215">
        <f t="shared" si="18"/>
        <v>0</v>
      </c>
      <c r="H72" s="215">
        <f t="shared" si="18"/>
        <v>627000</v>
      </c>
      <c r="I72" s="215">
        <f t="shared" si="18"/>
        <v>0</v>
      </c>
      <c r="J72" s="215">
        <f t="shared" si="18"/>
        <v>0</v>
      </c>
      <c r="K72" s="215">
        <f t="shared" si="18"/>
        <v>0</v>
      </c>
      <c r="L72" s="215">
        <f t="shared" si="18"/>
        <v>0</v>
      </c>
      <c r="M72" s="215">
        <f t="shared" si="18"/>
        <v>0</v>
      </c>
      <c r="N72" s="215">
        <f t="shared" si="18"/>
        <v>0</v>
      </c>
    </row>
    <row r="73" spans="1:14" s="216" customFormat="1" ht="18" customHeight="1">
      <c r="A73" s="292"/>
      <c r="B73" s="297"/>
      <c r="C73" s="297"/>
      <c r="D73" s="215">
        <f aca="true" t="shared" si="19" ref="D73:N74">D76+D79</f>
        <v>267000</v>
      </c>
      <c r="E73" s="215">
        <f t="shared" si="19"/>
        <v>177000</v>
      </c>
      <c r="F73" s="215">
        <f t="shared" si="19"/>
        <v>177000</v>
      </c>
      <c r="G73" s="215">
        <f t="shared" si="19"/>
        <v>0</v>
      </c>
      <c r="H73" s="215">
        <f t="shared" si="19"/>
        <v>177000</v>
      </c>
      <c r="I73" s="215">
        <f t="shared" si="19"/>
        <v>0</v>
      </c>
      <c r="J73" s="215">
        <f t="shared" si="19"/>
        <v>0</v>
      </c>
      <c r="K73" s="215">
        <f t="shared" si="19"/>
        <v>0</v>
      </c>
      <c r="L73" s="215">
        <f t="shared" si="19"/>
        <v>0</v>
      </c>
      <c r="M73" s="215">
        <f t="shared" si="19"/>
        <v>0</v>
      </c>
      <c r="N73" s="215">
        <f t="shared" si="19"/>
        <v>90000</v>
      </c>
    </row>
    <row r="74" spans="1:14" s="216" customFormat="1" ht="18" customHeight="1">
      <c r="A74" s="292"/>
      <c r="B74" s="298"/>
      <c r="C74" s="298"/>
      <c r="D74" s="215">
        <f t="shared" si="19"/>
        <v>233332.67</v>
      </c>
      <c r="E74" s="215">
        <f t="shared" si="19"/>
        <v>145110.78000000003</v>
      </c>
      <c r="F74" s="215">
        <f t="shared" si="19"/>
        <v>145110.78</v>
      </c>
      <c r="G74" s="215">
        <f t="shared" si="19"/>
        <v>0</v>
      </c>
      <c r="H74" s="215">
        <f t="shared" si="19"/>
        <v>145110.78</v>
      </c>
      <c r="I74" s="215">
        <f t="shared" si="19"/>
        <v>0</v>
      </c>
      <c r="J74" s="215">
        <f t="shared" si="19"/>
        <v>0</v>
      </c>
      <c r="K74" s="215">
        <f t="shared" si="19"/>
        <v>0</v>
      </c>
      <c r="L74" s="215">
        <f t="shared" si="19"/>
        <v>0</v>
      </c>
      <c r="M74" s="215">
        <f t="shared" si="19"/>
        <v>0</v>
      </c>
      <c r="N74" s="215">
        <f t="shared" si="19"/>
        <v>88221.89</v>
      </c>
    </row>
    <row r="75" spans="1:14" ht="18" customHeight="1">
      <c r="A75" s="292"/>
      <c r="B75" s="294" t="s">
        <v>386</v>
      </c>
      <c r="C75" s="294" t="s">
        <v>387</v>
      </c>
      <c r="D75" s="219">
        <f aca="true" t="shared" si="20" ref="D75:D80">E75+N75</f>
        <v>600000</v>
      </c>
      <c r="E75" s="219" t="s">
        <v>388</v>
      </c>
      <c r="F75" s="219" t="s">
        <v>388</v>
      </c>
      <c r="G75" s="219"/>
      <c r="H75" s="219" t="s">
        <v>388</v>
      </c>
      <c r="I75" s="219"/>
      <c r="J75" s="219"/>
      <c r="K75" s="219"/>
      <c r="L75" s="219"/>
      <c r="M75" s="219"/>
      <c r="N75" s="219"/>
    </row>
    <row r="76" spans="1:14" ht="18" customHeight="1">
      <c r="A76" s="292"/>
      <c r="B76" s="295"/>
      <c r="C76" s="295"/>
      <c r="D76" s="219">
        <f t="shared" si="20"/>
        <v>120000</v>
      </c>
      <c r="E76" s="219">
        <v>120000</v>
      </c>
      <c r="F76" s="219">
        <v>120000</v>
      </c>
      <c r="G76" s="219"/>
      <c r="H76" s="219">
        <v>120000</v>
      </c>
      <c r="I76" s="219"/>
      <c r="J76" s="219"/>
      <c r="K76" s="219"/>
      <c r="L76" s="219"/>
      <c r="M76" s="219"/>
      <c r="N76" s="219"/>
    </row>
    <row r="77" spans="1:14" ht="18" customHeight="1">
      <c r="A77" s="292"/>
      <c r="B77" s="287"/>
      <c r="C77" s="287"/>
      <c r="D77" s="219">
        <f t="shared" si="20"/>
        <v>111831.82</v>
      </c>
      <c r="E77" s="219">
        <v>111831.82</v>
      </c>
      <c r="F77" s="219">
        <v>111831.82</v>
      </c>
      <c r="G77" s="219"/>
      <c r="H77" s="219">
        <v>111831.82</v>
      </c>
      <c r="I77" s="219"/>
      <c r="J77" s="219"/>
      <c r="K77" s="219"/>
      <c r="L77" s="219"/>
      <c r="M77" s="219"/>
      <c r="N77" s="219"/>
    </row>
    <row r="78" spans="1:14" ht="18" customHeight="1">
      <c r="A78" s="292"/>
      <c r="B78" s="294" t="s">
        <v>389</v>
      </c>
      <c r="C78" s="294" t="s">
        <v>390</v>
      </c>
      <c r="D78" s="219">
        <f t="shared" si="20"/>
        <v>27000</v>
      </c>
      <c r="E78" s="219" t="s">
        <v>391</v>
      </c>
      <c r="F78" s="219" t="s">
        <v>391</v>
      </c>
      <c r="G78" s="219"/>
      <c r="H78" s="219" t="s">
        <v>391</v>
      </c>
      <c r="I78" s="219"/>
      <c r="J78" s="219"/>
      <c r="K78" s="219"/>
      <c r="L78" s="219"/>
      <c r="M78" s="219"/>
      <c r="N78" s="219"/>
    </row>
    <row r="79" spans="1:14" ht="18" customHeight="1">
      <c r="A79" s="292"/>
      <c r="B79" s="295"/>
      <c r="C79" s="295"/>
      <c r="D79" s="219">
        <f t="shared" si="20"/>
        <v>147000</v>
      </c>
      <c r="E79" s="219">
        <v>57000</v>
      </c>
      <c r="F79" s="219">
        <v>57000</v>
      </c>
      <c r="G79" s="219"/>
      <c r="H79" s="219">
        <v>57000</v>
      </c>
      <c r="I79" s="219"/>
      <c r="J79" s="219"/>
      <c r="K79" s="219"/>
      <c r="L79" s="219"/>
      <c r="M79" s="219"/>
      <c r="N79" s="219">
        <v>90000</v>
      </c>
    </row>
    <row r="80" spans="1:14" ht="18" customHeight="1">
      <c r="A80" s="293"/>
      <c r="B80" s="287"/>
      <c r="C80" s="287"/>
      <c r="D80" s="219">
        <f t="shared" si="20"/>
        <v>121500.85</v>
      </c>
      <c r="E80" s="219">
        <f>121500.85-88221.89</f>
        <v>33278.96000000001</v>
      </c>
      <c r="F80" s="219">
        <v>33278.96</v>
      </c>
      <c r="G80" s="219"/>
      <c r="H80" s="219">
        <v>33278.96</v>
      </c>
      <c r="I80" s="219"/>
      <c r="J80" s="219"/>
      <c r="K80" s="219"/>
      <c r="L80" s="219"/>
      <c r="M80" s="219"/>
      <c r="N80" s="219">
        <v>88221.89</v>
      </c>
    </row>
    <row r="81" spans="1:14" s="216" customFormat="1" ht="18" customHeight="1">
      <c r="A81" s="291" t="s">
        <v>65</v>
      </c>
      <c r="B81" s="296"/>
      <c r="C81" s="296" t="s">
        <v>66</v>
      </c>
      <c r="D81" s="215">
        <f>D84+D87+D90+D96+D99+D93</f>
        <v>1792400</v>
      </c>
      <c r="E81" s="215">
        <f aca="true" t="shared" si="21" ref="E81:N81">E84+E87+E90+E96+E99+E93</f>
        <v>1647400</v>
      </c>
      <c r="F81" s="215">
        <f t="shared" si="21"/>
        <v>1580300</v>
      </c>
      <c r="G81" s="215">
        <f t="shared" si="21"/>
        <v>1166000</v>
      </c>
      <c r="H81" s="215">
        <f t="shared" si="21"/>
        <v>414300</v>
      </c>
      <c r="I81" s="215">
        <f t="shared" si="21"/>
        <v>0</v>
      </c>
      <c r="J81" s="215">
        <f t="shared" si="21"/>
        <v>67100</v>
      </c>
      <c r="K81" s="215">
        <f t="shared" si="21"/>
        <v>0</v>
      </c>
      <c r="L81" s="215">
        <f t="shared" si="21"/>
        <v>0</v>
      </c>
      <c r="M81" s="215">
        <f t="shared" si="21"/>
        <v>0</v>
      </c>
      <c r="N81" s="215">
        <f t="shared" si="21"/>
        <v>145000</v>
      </c>
    </row>
    <row r="82" spans="1:14" s="216" customFormat="1" ht="18" customHeight="1">
      <c r="A82" s="292"/>
      <c r="B82" s="297"/>
      <c r="C82" s="297"/>
      <c r="D82" s="215">
        <f aca="true" t="shared" si="22" ref="D82:N83">D85+D88+D91+D97+D100+D94</f>
        <v>2542201.5300000003</v>
      </c>
      <c r="E82" s="215">
        <f t="shared" si="22"/>
        <v>2039884.84</v>
      </c>
      <c r="F82" s="215">
        <f t="shared" si="22"/>
        <v>1872277.0199999998</v>
      </c>
      <c r="G82" s="215">
        <f t="shared" si="22"/>
        <v>1285539.5</v>
      </c>
      <c r="H82" s="215">
        <f t="shared" si="22"/>
        <v>586737.52</v>
      </c>
      <c r="I82" s="215">
        <f t="shared" si="22"/>
        <v>4000</v>
      </c>
      <c r="J82" s="215">
        <f t="shared" si="22"/>
        <v>96368.73000000001</v>
      </c>
      <c r="K82" s="215">
        <f t="shared" si="22"/>
        <v>67239.09</v>
      </c>
      <c r="L82" s="215">
        <f t="shared" si="22"/>
        <v>0</v>
      </c>
      <c r="M82" s="215">
        <f t="shared" si="22"/>
        <v>0</v>
      </c>
      <c r="N82" s="215">
        <f t="shared" si="22"/>
        <v>502316.69</v>
      </c>
    </row>
    <row r="83" spans="1:14" s="216" customFormat="1" ht="18" customHeight="1">
      <c r="A83" s="292"/>
      <c r="B83" s="298"/>
      <c r="C83" s="298"/>
      <c r="D83" s="215">
        <f t="shared" si="22"/>
        <v>1953300.1</v>
      </c>
      <c r="E83" s="215">
        <f t="shared" si="22"/>
        <v>1837061.9500000002</v>
      </c>
      <c r="F83" s="215">
        <f t="shared" si="22"/>
        <v>1736693.22</v>
      </c>
      <c r="G83" s="215">
        <f t="shared" si="22"/>
        <v>1253532.62</v>
      </c>
      <c r="H83" s="215">
        <f t="shared" si="22"/>
        <v>450261.56999999983</v>
      </c>
      <c r="I83" s="215">
        <f t="shared" si="22"/>
        <v>4000</v>
      </c>
      <c r="J83" s="215">
        <f t="shared" si="22"/>
        <v>96368.73000000001</v>
      </c>
      <c r="K83" s="215">
        <f t="shared" si="22"/>
        <v>0</v>
      </c>
      <c r="L83" s="215">
        <f t="shared" si="22"/>
        <v>0</v>
      </c>
      <c r="M83" s="215">
        <f t="shared" si="22"/>
        <v>0</v>
      </c>
      <c r="N83" s="215">
        <f t="shared" si="22"/>
        <v>116238.15</v>
      </c>
    </row>
    <row r="84" spans="1:14" ht="18" customHeight="1">
      <c r="A84" s="292"/>
      <c r="B84" s="294" t="s">
        <v>68</v>
      </c>
      <c r="C84" s="294" t="s">
        <v>69</v>
      </c>
      <c r="D84" s="219">
        <f aca="true" t="shared" si="23" ref="D84:D99">E84+N84</f>
        <v>88100</v>
      </c>
      <c r="E84" s="219">
        <v>88100</v>
      </c>
      <c r="F84" s="219" t="s">
        <v>392</v>
      </c>
      <c r="G84" s="219" t="s">
        <v>393</v>
      </c>
      <c r="H84" s="219" t="s">
        <v>394</v>
      </c>
      <c r="I84" s="219"/>
      <c r="J84" s="219"/>
      <c r="K84" s="219"/>
      <c r="L84" s="219"/>
      <c r="M84" s="219"/>
      <c r="N84" s="219"/>
    </row>
    <row r="85" spans="1:14" ht="18" customHeight="1">
      <c r="A85" s="292"/>
      <c r="B85" s="295"/>
      <c r="C85" s="295"/>
      <c r="D85" s="219">
        <f t="shared" si="23"/>
        <v>113100</v>
      </c>
      <c r="E85" s="219">
        <v>106146</v>
      </c>
      <c r="F85" s="219">
        <v>106146</v>
      </c>
      <c r="G85" s="219">
        <v>88588.35</v>
      </c>
      <c r="H85" s="219">
        <v>17557.65</v>
      </c>
      <c r="I85" s="219"/>
      <c r="J85" s="219"/>
      <c r="K85" s="219"/>
      <c r="L85" s="219"/>
      <c r="M85" s="219"/>
      <c r="N85" s="219">
        <v>6954</v>
      </c>
    </row>
    <row r="86" spans="1:14" ht="18" customHeight="1">
      <c r="A86" s="292"/>
      <c r="B86" s="287"/>
      <c r="C86" s="287"/>
      <c r="D86" s="219">
        <f t="shared" si="23"/>
        <v>107523.54</v>
      </c>
      <c r="E86" s="219">
        <f>107523.54-6954</f>
        <v>100569.54</v>
      </c>
      <c r="F86" s="219">
        <v>100569.54</v>
      </c>
      <c r="G86" s="219">
        <f>70240.53+2595.07+10298.82+605.47</f>
        <v>83739.89000000001</v>
      </c>
      <c r="H86" s="219">
        <f>F86-G86</f>
        <v>16829.64999999998</v>
      </c>
      <c r="I86" s="219"/>
      <c r="J86" s="219"/>
      <c r="K86" s="219"/>
      <c r="L86" s="219"/>
      <c r="M86" s="219"/>
      <c r="N86" s="219">
        <v>6954</v>
      </c>
    </row>
    <row r="87" spans="1:14" ht="18" customHeight="1">
      <c r="A87" s="292"/>
      <c r="B87" s="294" t="s">
        <v>395</v>
      </c>
      <c r="C87" s="294" t="s">
        <v>396</v>
      </c>
      <c r="D87" s="219">
        <f t="shared" si="23"/>
        <v>58300</v>
      </c>
      <c r="E87" s="219">
        <v>58300</v>
      </c>
      <c r="F87" s="219" t="s">
        <v>397</v>
      </c>
      <c r="G87" s="219"/>
      <c r="H87" s="219" t="s">
        <v>397</v>
      </c>
      <c r="I87" s="219"/>
      <c r="J87" s="219" t="s">
        <v>398</v>
      </c>
      <c r="K87" s="219"/>
      <c r="L87" s="219"/>
      <c r="M87" s="219"/>
      <c r="N87" s="219"/>
    </row>
    <row r="88" spans="1:14" ht="18" customHeight="1">
      <c r="A88" s="292"/>
      <c r="B88" s="295"/>
      <c r="C88" s="295"/>
      <c r="D88" s="219">
        <f t="shared" si="23"/>
        <v>74118.8</v>
      </c>
      <c r="E88" s="219">
        <v>74118.8</v>
      </c>
      <c r="F88" s="219">
        <v>7365.42</v>
      </c>
      <c r="G88" s="219"/>
      <c r="H88" s="219">
        <v>7365.42</v>
      </c>
      <c r="I88" s="219"/>
      <c r="J88" s="219">
        <v>66753.38</v>
      </c>
      <c r="K88" s="219"/>
      <c r="L88" s="219"/>
      <c r="M88" s="219"/>
      <c r="N88" s="219"/>
    </row>
    <row r="89" spans="1:14" ht="18" customHeight="1">
      <c r="A89" s="292"/>
      <c r="B89" s="287"/>
      <c r="C89" s="287"/>
      <c r="D89" s="219">
        <f t="shared" si="23"/>
        <v>74118.8</v>
      </c>
      <c r="E89" s="219">
        <v>74118.8</v>
      </c>
      <c r="F89" s="219">
        <f>E89-J89</f>
        <v>7365.419999999998</v>
      </c>
      <c r="G89" s="219"/>
      <c r="H89" s="219">
        <v>7365.42</v>
      </c>
      <c r="I89" s="219"/>
      <c r="J89" s="219">
        <v>66753.38</v>
      </c>
      <c r="K89" s="219"/>
      <c r="L89" s="219"/>
      <c r="M89" s="219"/>
      <c r="N89" s="219"/>
    </row>
    <row r="90" spans="1:14" ht="18" customHeight="1">
      <c r="A90" s="292"/>
      <c r="B90" s="294" t="s">
        <v>399</v>
      </c>
      <c r="C90" s="294" t="s">
        <v>400</v>
      </c>
      <c r="D90" s="219">
        <f t="shared" si="23"/>
        <v>1597200</v>
      </c>
      <c r="E90" s="219">
        <v>1452200</v>
      </c>
      <c r="F90" s="219">
        <v>1451900</v>
      </c>
      <c r="G90" s="219">
        <v>1092700</v>
      </c>
      <c r="H90" s="219">
        <v>359200</v>
      </c>
      <c r="I90" s="219"/>
      <c r="J90" s="219" t="s">
        <v>401</v>
      </c>
      <c r="K90" s="219"/>
      <c r="L90" s="219"/>
      <c r="M90" s="219"/>
      <c r="N90" s="219" t="s">
        <v>573</v>
      </c>
    </row>
    <row r="91" spans="1:14" ht="18" customHeight="1">
      <c r="A91" s="292"/>
      <c r="B91" s="295"/>
      <c r="C91" s="295"/>
      <c r="D91" s="219">
        <f t="shared" si="23"/>
        <v>1759516.73</v>
      </c>
      <c r="E91" s="219">
        <v>1620934.04</v>
      </c>
      <c r="F91" s="219">
        <v>1620734.04</v>
      </c>
      <c r="G91" s="219">
        <v>1185137.5</v>
      </c>
      <c r="H91" s="219">
        <v>435596.54</v>
      </c>
      <c r="I91" s="219"/>
      <c r="J91" s="219">
        <v>200</v>
      </c>
      <c r="K91" s="219"/>
      <c r="L91" s="219"/>
      <c r="M91" s="219"/>
      <c r="N91" s="219">
        <v>138582.69</v>
      </c>
    </row>
    <row r="92" spans="1:14" ht="18" customHeight="1">
      <c r="A92" s="292"/>
      <c r="B92" s="287"/>
      <c r="C92" s="287"/>
      <c r="D92" s="219">
        <f t="shared" si="23"/>
        <v>1675536.5</v>
      </c>
      <c r="E92" s="219">
        <f>1675536.5-109182.03</f>
        <v>1566354.47</v>
      </c>
      <c r="F92" s="219">
        <v>1566154.47</v>
      </c>
      <c r="G92" s="219">
        <f>942051.59+56794.7+141570.94+21658.85+6503</f>
        <v>1168579.08</v>
      </c>
      <c r="H92" s="219">
        <f>F92-G92</f>
        <v>397575.3899999999</v>
      </c>
      <c r="I92" s="219"/>
      <c r="J92" s="219">
        <v>200</v>
      </c>
      <c r="K92" s="219"/>
      <c r="L92" s="219"/>
      <c r="M92" s="219"/>
      <c r="N92" s="219">
        <v>109182.03</v>
      </c>
    </row>
    <row r="93" spans="1:14" ht="18" customHeight="1">
      <c r="A93" s="292"/>
      <c r="B93" s="294" t="s">
        <v>638</v>
      </c>
      <c r="C93" s="294" t="s">
        <v>668</v>
      </c>
      <c r="D93" s="219">
        <f>E93+N93</f>
        <v>0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</row>
    <row r="94" spans="1:14" ht="18" customHeight="1">
      <c r="A94" s="292"/>
      <c r="B94" s="295"/>
      <c r="C94" s="295"/>
      <c r="D94" s="219">
        <f>E94+N94</f>
        <v>8934</v>
      </c>
      <c r="E94" s="219">
        <v>8934</v>
      </c>
      <c r="F94" s="219">
        <v>2018.65</v>
      </c>
      <c r="G94" s="219">
        <v>1213.65</v>
      </c>
      <c r="H94" s="219">
        <v>805</v>
      </c>
      <c r="I94" s="219"/>
      <c r="J94" s="219">
        <v>6915.35</v>
      </c>
      <c r="K94" s="219"/>
      <c r="L94" s="219"/>
      <c r="M94" s="219"/>
      <c r="N94" s="219"/>
    </row>
    <row r="95" spans="1:14" ht="18" customHeight="1">
      <c r="A95" s="292"/>
      <c r="B95" s="287"/>
      <c r="C95" s="287"/>
      <c r="D95" s="219">
        <f>E95+N95</f>
        <v>8934</v>
      </c>
      <c r="E95" s="219">
        <v>8934</v>
      </c>
      <c r="F95" s="219">
        <v>2018.65</v>
      </c>
      <c r="G95" s="219">
        <v>1213.65</v>
      </c>
      <c r="H95" s="219">
        <v>805</v>
      </c>
      <c r="I95" s="219"/>
      <c r="J95" s="219">
        <v>6915.35</v>
      </c>
      <c r="K95" s="219"/>
      <c r="L95" s="219"/>
      <c r="M95" s="219"/>
      <c r="N95" s="219"/>
    </row>
    <row r="96" spans="1:14" ht="18" customHeight="1">
      <c r="A96" s="292"/>
      <c r="B96" s="294" t="s">
        <v>591</v>
      </c>
      <c r="C96" s="294" t="s">
        <v>592</v>
      </c>
      <c r="D96" s="219">
        <f t="shared" si="23"/>
        <v>20000</v>
      </c>
      <c r="E96" s="219">
        <v>20000</v>
      </c>
      <c r="F96" s="219">
        <v>20000</v>
      </c>
      <c r="G96" s="219"/>
      <c r="H96" s="219">
        <v>20000</v>
      </c>
      <c r="I96" s="219"/>
      <c r="J96" s="219"/>
      <c r="K96" s="219"/>
      <c r="L96" s="219"/>
      <c r="M96" s="219"/>
      <c r="N96" s="219"/>
    </row>
    <row r="97" spans="1:14" ht="18" customHeight="1">
      <c r="A97" s="292"/>
      <c r="B97" s="295"/>
      <c r="C97" s="295"/>
      <c r="D97" s="219">
        <f t="shared" si="23"/>
        <v>33000</v>
      </c>
      <c r="E97" s="219">
        <v>33000</v>
      </c>
      <c r="F97" s="219">
        <v>33000</v>
      </c>
      <c r="G97" s="219"/>
      <c r="H97" s="219">
        <v>33000</v>
      </c>
      <c r="I97" s="219"/>
      <c r="J97" s="219"/>
      <c r="K97" s="219"/>
      <c r="L97" s="219"/>
      <c r="M97" s="219"/>
      <c r="N97" s="219"/>
    </row>
    <row r="98" spans="1:14" ht="18" customHeight="1">
      <c r="A98" s="292"/>
      <c r="B98" s="287"/>
      <c r="C98" s="287"/>
      <c r="D98" s="219">
        <f t="shared" si="23"/>
        <v>27686.11</v>
      </c>
      <c r="E98" s="219">
        <v>27686.11</v>
      </c>
      <c r="F98" s="219">
        <v>27686.11</v>
      </c>
      <c r="G98" s="219"/>
      <c r="H98" s="219">
        <v>27686.11</v>
      </c>
      <c r="I98" s="219"/>
      <c r="J98" s="219"/>
      <c r="K98" s="219"/>
      <c r="L98" s="219"/>
      <c r="M98" s="219"/>
      <c r="N98" s="219"/>
    </row>
    <row r="99" spans="1:14" ht="18" customHeight="1">
      <c r="A99" s="292"/>
      <c r="B99" s="294" t="s">
        <v>402</v>
      </c>
      <c r="C99" s="294" t="s">
        <v>355</v>
      </c>
      <c r="D99" s="219">
        <f t="shared" si="23"/>
        <v>28800</v>
      </c>
      <c r="E99" s="219">
        <v>28800</v>
      </c>
      <c r="F99" s="219" t="s">
        <v>403</v>
      </c>
      <c r="G99" s="219"/>
      <c r="H99" s="219" t="s">
        <v>403</v>
      </c>
      <c r="I99" s="219"/>
      <c r="J99" s="219" t="s">
        <v>404</v>
      </c>
      <c r="K99" s="219"/>
      <c r="L99" s="219"/>
      <c r="M99" s="219"/>
      <c r="N99" s="219"/>
    </row>
    <row r="100" spans="1:14" ht="18" customHeight="1">
      <c r="A100" s="292"/>
      <c r="B100" s="295"/>
      <c r="C100" s="295"/>
      <c r="D100" s="219">
        <f>E100+N100</f>
        <v>553532</v>
      </c>
      <c r="E100" s="219">
        <v>196752</v>
      </c>
      <c r="F100" s="219">
        <v>103012.91</v>
      </c>
      <c r="G100" s="219">
        <v>10600</v>
      </c>
      <c r="H100" s="219">
        <v>92412.91</v>
      </c>
      <c r="I100" s="219">
        <v>4000</v>
      </c>
      <c r="J100" s="219">
        <v>22500</v>
      </c>
      <c r="K100" s="219">
        <v>67239.09</v>
      </c>
      <c r="L100" s="219"/>
      <c r="M100" s="219"/>
      <c r="N100" s="219">
        <v>356780</v>
      </c>
    </row>
    <row r="101" spans="1:14" ht="18" customHeight="1">
      <c r="A101" s="292"/>
      <c r="B101" s="287"/>
      <c r="C101" s="287"/>
      <c r="D101" s="219">
        <f>E101+N101</f>
        <v>59501.15</v>
      </c>
      <c r="E101" s="219">
        <f>59501.15-102.12</f>
        <v>59399.03</v>
      </c>
      <c r="F101" s="219">
        <f>18997.33+7726.7+6175</f>
        <v>32899.03</v>
      </c>
      <c r="G101" s="219">
        <v>0</v>
      </c>
      <c r="H101" s="219"/>
      <c r="I101" s="219">
        <v>4000</v>
      </c>
      <c r="J101" s="219">
        <v>22500</v>
      </c>
      <c r="K101" s="219">
        <v>0</v>
      </c>
      <c r="L101" s="219"/>
      <c r="M101" s="219"/>
      <c r="N101" s="219">
        <v>102.12</v>
      </c>
    </row>
    <row r="102" spans="1:14" s="216" customFormat="1" ht="18" customHeight="1">
      <c r="A102" s="310" t="s">
        <v>70</v>
      </c>
      <c r="B102" s="227"/>
      <c r="C102" s="224" t="s">
        <v>71</v>
      </c>
      <c r="D102" s="215">
        <f>D105+D108+D111</f>
        <v>840</v>
      </c>
      <c r="E102" s="215">
        <f aca="true" t="shared" si="24" ref="E102:N102">E105+E108+E111</f>
        <v>840</v>
      </c>
      <c r="F102" s="215">
        <f t="shared" si="24"/>
        <v>840</v>
      </c>
      <c r="G102" s="215">
        <f t="shared" si="24"/>
        <v>383</v>
      </c>
      <c r="H102" s="215">
        <f t="shared" si="24"/>
        <v>457</v>
      </c>
      <c r="I102" s="215">
        <f t="shared" si="24"/>
        <v>0</v>
      </c>
      <c r="J102" s="215">
        <f t="shared" si="24"/>
        <v>0</v>
      </c>
      <c r="K102" s="215">
        <f t="shared" si="24"/>
        <v>0</v>
      </c>
      <c r="L102" s="215">
        <f t="shared" si="24"/>
        <v>0</v>
      </c>
      <c r="M102" s="215">
        <f t="shared" si="24"/>
        <v>0</v>
      </c>
      <c r="N102" s="215">
        <f t="shared" si="24"/>
        <v>0</v>
      </c>
    </row>
    <row r="103" spans="1:14" s="216" customFormat="1" ht="18" customHeight="1">
      <c r="A103" s="311"/>
      <c r="B103" s="228"/>
      <c r="C103" s="225"/>
      <c r="D103" s="215">
        <f aca="true" t="shared" si="25" ref="D103:N104">D106+D109+D112</f>
        <v>36386</v>
      </c>
      <c r="E103" s="215">
        <f t="shared" si="25"/>
        <v>36386</v>
      </c>
      <c r="F103" s="215">
        <f t="shared" si="25"/>
        <v>19956</v>
      </c>
      <c r="G103" s="215">
        <f t="shared" si="25"/>
        <v>5893.84</v>
      </c>
      <c r="H103" s="215">
        <f t="shared" si="25"/>
        <v>14062.16</v>
      </c>
      <c r="I103" s="215">
        <f t="shared" si="25"/>
        <v>0</v>
      </c>
      <c r="J103" s="215">
        <f t="shared" si="25"/>
        <v>16430</v>
      </c>
      <c r="K103" s="215">
        <f t="shared" si="25"/>
        <v>0</v>
      </c>
      <c r="L103" s="215">
        <f t="shared" si="25"/>
        <v>0</v>
      </c>
      <c r="M103" s="215">
        <f t="shared" si="25"/>
        <v>0</v>
      </c>
      <c r="N103" s="215">
        <f t="shared" si="25"/>
        <v>0</v>
      </c>
    </row>
    <row r="104" spans="1:14" s="216" customFormat="1" ht="18" customHeight="1">
      <c r="A104" s="311"/>
      <c r="B104" s="229"/>
      <c r="C104" s="226"/>
      <c r="D104" s="215">
        <f t="shared" si="25"/>
        <v>24540.98</v>
      </c>
      <c r="E104" s="215">
        <f t="shared" si="25"/>
        <v>24540.98</v>
      </c>
      <c r="F104" s="215">
        <f t="shared" si="25"/>
        <v>15105.98</v>
      </c>
      <c r="G104" s="215">
        <f t="shared" si="25"/>
        <v>4813.84</v>
      </c>
      <c r="H104" s="215">
        <f t="shared" si="25"/>
        <v>10292.14</v>
      </c>
      <c r="I104" s="215">
        <f t="shared" si="25"/>
        <v>0</v>
      </c>
      <c r="J104" s="215">
        <f t="shared" si="25"/>
        <v>9435</v>
      </c>
      <c r="K104" s="215">
        <f t="shared" si="25"/>
        <v>0</v>
      </c>
      <c r="L104" s="215">
        <f t="shared" si="25"/>
        <v>0</v>
      </c>
      <c r="M104" s="215">
        <f t="shared" si="25"/>
        <v>0</v>
      </c>
      <c r="N104" s="215">
        <f t="shared" si="25"/>
        <v>0</v>
      </c>
    </row>
    <row r="105" spans="1:14" ht="18" customHeight="1">
      <c r="A105" s="311"/>
      <c r="B105" s="230" t="s">
        <v>73</v>
      </c>
      <c r="C105" s="218" t="s">
        <v>74</v>
      </c>
      <c r="D105" s="219">
        <f aca="true" t="shared" si="26" ref="D105:D111">E105+N105</f>
        <v>840</v>
      </c>
      <c r="E105" s="219" t="s">
        <v>72</v>
      </c>
      <c r="F105" s="219" t="s">
        <v>72</v>
      </c>
      <c r="G105" s="219" t="s">
        <v>405</v>
      </c>
      <c r="H105" s="219" t="s">
        <v>406</v>
      </c>
      <c r="I105" s="219"/>
      <c r="J105" s="219"/>
      <c r="K105" s="219"/>
      <c r="L105" s="219"/>
      <c r="M105" s="219"/>
      <c r="N105" s="219"/>
    </row>
    <row r="106" spans="1:14" ht="18" customHeight="1">
      <c r="A106" s="311"/>
      <c r="B106" s="231"/>
      <c r="C106" s="220"/>
      <c r="D106" s="219">
        <f t="shared" si="26"/>
        <v>5840</v>
      </c>
      <c r="E106" s="219">
        <v>5840</v>
      </c>
      <c r="F106" s="219">
        <v>5840</v>
      </c>
      <c r="G106" s="219">
        <v>368.32</v>
      </c>
      <c r="H106" s="219">
        <v>5471.68</v>
      </c>
      <c r="I106" s="219"/>
      <c r="J106" s="219"/>
      <c r="K106" s="219"/>
      <c r="L106" s="219"/>
      <c r="M106" s="219"/>
      <c r="N106" s="219"/>
    </row>
    <row r="107" spans="1:14" ht="18" customHeight="1">
      <c r="A107" s="312"/>
      <c r="B107" s="232"/>
      <c r="C107" s="214"/>
      <c r="D107" s="219">
        <f t="shared" si="26"/>
        <v>3340.98</v>
      </c>
      <c r="E107" s="219">
        <v>3340.98</v>
      </c>
      <c r="F107" s="219">
        <v>3340.98</v>
      </c>
      <c r="G107" s="219">
        <f>48.32+320</f>
        <v>368.32</v>
      </c>
      <c r="H107" s="219">
        <v>2972.66</v>
      </c>
      <c r="I107" s="219"/>
      <c r="J107" s="219"/>
      <c r="K107" s="219"/>
      <c r="L107" s="219"/>
      <c r="M107" s="219"/>
      <c r="N107" s="219"/>
    </row>
    <row r="108" spans="1:14" ht="18" customHeight="1">
      <c r="A108" s="310" t="s">
        <v>70</v>
      </c>
      <c r="B108" s="230" t="s">
        <v>642</v>
      </c>
      <c r="C108" s="218" t="s">
        <v>669</v>
      </c>
      <c r="D108" s="219">
        <f t="shared" si="26"/>
        <v>0</v>
      </c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</row>
    <row r="109" spans="1:14" ht="18" customHeight="1">
      <c r="A109" s="311"/>
      <c r="B109" s="231"/>
      <c r="C109" s="220"/>
      <c r="D109" s="219">
        <f t="shared" si="26"/>
        <v>10660</v>
      </c>
      <c r="E109" s="219">
        <v>10660</v>
      </c>
      <c r="F109" s="219">
        <v>5530</v>
      </c>
      <c r="G109" s="219">
        <v>1831.52</v>
      </c>
      <c r="H109" s="219">
        <v>3698.48</v>
      </c>
      <c r="I109" s="219"/>
      <c r="J109" s="219">
        <v>5130</v>
      </c>
      <c r="K109" s="219"/>
      <c r="L109" s="219"/>
      <c r="M109" s="219"/>
      <c r="N109" s="219"/>
    </row>
    <row r="110" spans="1:15" ht="18" customHeight="1">
      <c r="A110" s="311"/>
      <c r="B110" s="232"/>
      <c r="C110" s="214"/>
      <c r="D110" s="219">
        <f t="shared" si="26"/>
        <v>10525</v>
      </c>
      <c r="E110" s="219">
        <v>10525</v>
      </c>
      <c r="F110" s="219">
        <f>E110-J110</f>
        <v>5530</v>
      </c>
      <c r="G110" s="219">
        <f>237.04+24.7+1569.78</f>
        <v>1831.52</v>
      </c>
      <c r="H110" s="219">
        <v>3698.48</v>
      </c>
      <c r="I110" s="219"/>
      <c r="J110" s="219">
        <v>4995</v>
      </c>
      <c r="K110" s="219"/>
      <c r="L110" s="219"/>
      <c r="M110" s="219"/>
      <c r="N110" s="219"/>
      <c r="O110" s="222"/>
    </row>
    <row r="111" spans="1:14" ht="18.75" customHeight="1">
      <c r="A111" s="311"/>
      <c r="B111" s="230" t="s">
        <v>643</v>
      </c>
      <c r="C111" s="218" t="s">
        <v>670</v>
      </c>
      <c r="D111" s="219">
        <f t="shared" si="26"/>
        <v>0</v>
      </c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</row>
    <row r="112" spans="1:14" ht="18.75" customHeight="1">
      <c r="A112" s="311"/>
      <c r="B112" s="231"/>
      <c r="C112" s="220"/>
      <c r="D112" s="219">
        <f>E112+N112</f>
        <v>19886</v>
      </c>
      <c r="E112" s="219">
        <v>19886</v>
      </c>
      <c r="F112" s="219">
        <v>8586</v>
      </c>
      <c r="G112" s="219">
        <v>3694</v>
      </c>
      <c r="H112" s="219">
        <v>4892</v>
      </c>
      <c r="I112" s="219"/>
      <c r="J112" s="219">
        <v>11300</v>
      </c>
      <c r="K112" s="219"/>
      <c r="L112" s="219"/>
      <c r="M112" s="219"/>
      <c r="N112" s="219"/>
    </row>
    <row r="113" spans="1:14" ht="18.75" customHeight="1">
      <c r="A113" s="312"/>
      <c r="B113" s="232"/>
      <c r="C113" s="214"/>
      <c r="D113" s="219">
        <f>E113+N113</f>
        <v>10675</v>
      </c>
      <c r="E113" s="219">
        <f>10675</f>
        <v>10675</v>
      </c>
      <c r="F113" s="219">
        <f>E113-J113</f>
        <v>6235</v>
      </c>
      <c r="G113" s="219">
        <f>337.58+40.75+2235.67</f>
        <v>2614</v>
      </c>
      <c r="H113" s="219">
        <f>F113-G113</f>
        <v>3621</v>
      </c>
      <c r="I113" s="219"/>
      <c r="J113" s="219">
        <v>4440</v>
      </c>
      <c r="K113" s="219"/>
      <c r="L113" s="219"/>
      <c r="M113" s="219"/>
      <c r="N113" s="219"/>
    </row>
    <row r="114" spans="1:14" s="216" customFormat="1" ht="18" customHeight="1">
      <c r="A114" s="292" t="s">
        <v>266</v>
      </c>
      <c r="B114" s="296"/>
      <c r="C114" s="296" t="s">
        <v>267</v>
      </c>
      <c r="D114" s="215">
        <f>D117+D120+D123+D126+D129</f>
        <v>1301699</v>
      </c>
      <c r="E114" s="215">
        <f aca="true" t="shared" si="27" ref="E114:N114">E117+E120+E123+E126+E129</f>
        <v>301699</v>
      </c>
      <c r="F114" s="215">
        <f t="shared" si="27"/>
        <v>283699</v>
      </c>
      <c r="G114" s="215">
        <f t="shared" si="27"/>
        <v>162375</v>
      </c>
      <c r="H114" s="215">
        <f t="shared" si="27"/>
        <v>121324</v>
      </c>
      <c r="I114" s="215">
        <f t="shared" si="27"/>
        <v>0</v>
      </c>
      <c r="J114" s="215">
        <f t="shared" si="27"/>
        <v>18000</v>
      </c>
      <c r="K114" s="215">
        <f t="shared" si="27"/>
        <v>0</v>
      </c>
      <c r="L114" s="215">
        <f t="shared" si="27"/>
        <v>0</v>
      </c>
      <c r="M114" s="215">
        <f t="shared" si="27"/>
        <v>0</v>
      </c>
      <c r="N114" s="215">
        <f t="shared" si="27"/>
        <v>1000000</v>
      </c>
    </row>
    <row r="115" spans="1:14" s="216" customFormat="1" ht="18" customHeight="1">
      <c r="A115" s="292"/>
      <c r="B115" s="297"/>
      <c r="C115" s="297"/>
      <c r="D115" s="215">
        <f aca="true" t="shared" si="28" ref="D115:N116">D118+D121+D124+D127+D130</f>
        <v>1839726.4</v>
      </c>
      <c r="E115" s="215">
        <f t="shared" si="28"/>
        <v>340036.39</v>
      </c>
      <c r="F115" s="215">
        <f t="shared" si="28"/>
        <v>328838.39</v>
      </c>
      <c r="G115" s="215">
        <f t="shared" si="28"/>
        <v>164372.4</v>
      </c>
      <c r="H115" s="215">
        <f t="shared" si="28"/>
        <v>164465.99</v>
      </c>
      <c r="I115" s="215">
        <f t="shared" si="28"/>
        <v>0</v>
      </c>
      <c r="J115" s="215">
        <f t="shared" si="28"/>
        <v>11198</v>
      </c>
      <c r="K115" s="215">
        <f t="shared" si="28"/>
        <v>0</v>
      </c>
      <c r="L115" s="215">
        <f t="shared" si="28"/>
        <v>0</v>
      </c>
      <c r="M115" s="215">
        <f t="shared" si="28"/>
        <v>0</v>
      </c>
      <c r="N115" s="215">
        <f t="shared" si="28"/>
        <v>1499690.01</v>
      </c>
    </row>
    <row r="116" spans="1:14" s="216" customFormat="1" ht="18" customHeight="1">
      <c r="A116" s="292"/>
      <c r="B116" s="298"/>
      <c r="C116" s="298"/>
      <c r="D116" s="215">
        <f t="shared" si="28"/>
        <v>1758119.41</v>
      </c>
      <c r="E116" s="215">
        <f t="shared" si="28"/>
        <v>318787.57000000007</v>
      </c>
      <c r="F116" s="215">
        <f t="shared" si="28"/>
        <v>307589.57000000007</v>
      </c>
      <c r="G116" s="215">
        <f t="shared" si="28"/>
        <v>164139.62</v>
      </c>
      <c r="H116" s="215">
        <f t="shared" si="28"/>
        <v>143449.95000000004</v>
      </c>
      <c r="I116" s="215">
        <f t="shared" si="28"/>
        <v>0</v>
      </c>
      <c r="J116" s="215">
        <f t="shared" si="28"/>
        <v>11198</v>
      </c>
      <c r="K116" s="215">
        <f t="shared" si="28"/>
        <v>0</v>
      </c>
      <c r="L116" s="215">
        <f t="shared" si="28"/>
        <v>0</v>
      </c>
      <c r="M116" s="215">
        <f t="shared" si="28"/>
        <v>0</v>
      </c>
      <c r="N116" s="215">
        <f t="shared" si="28"/>
        <v>1439331.84</v>
      </c>
    </row>
    <row r="117" spans="1:14" ht="18" customHeight="1">
      <c r="A117" s="292"/>
      <c r="B117" s="294" t="s">
        <v>718</v>
      </c>
      <c r="C117" s="294" t="s">
        <v>720</v>
      </c>
      <c r="D117" s="219">
        <f aca="true" t="shared" si="29" ref="D117:D123">E117+N117</f>
        <v>0</v>
      </c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</row>
    <row r="118" spans="1:14" ht="18" customHeight="1">
      <c r="A118" s="292"/>
      <c r="B118" s="295"/>
      <c r="C118" s="295"/>
      <c r="D118" s="219">
        <f t="shared" si="29"/>
        <v>5491.2</v>
      </c>
      <c r="E118" s="219">
        <v>5491.2</v>
      </c>
      <c r="F118" s="219">
        <v>5491.2</v>
      </c>
      <c r="G118" s="219"/>
      <c r="H118" s="219">
        <v>5491.2</v>
      </c>
      <c r="I118" s="219"/>
      <c r="J118" s="219"/>
      <c r="K118" s="219"/>
      <c r="L118" s="219"/>
      <c r="M118" s="219"/>
      <c r="N118" s="219"/>
    </row>
    <row r="119" spans="1:14" ht="18" customHeight="1">
      <c r="A119" s="292"/>
      <c r="B119" s="287"/>
      <c r="C119" s="287"/>
      <c r="D119" s="219">
        <f t="shared" si="29"/>
        <v>5491.2</v>
      </c>
      <c r="E119" s="219">
        <v>5491.2</v>
      </c>
      <c r="F119" s="219">
        <v>5491.2</v>
      </c>
      <c r="G119" s="219"/>
      <c r="H119" s="219">
        <v>5491.2</v>
      </c>
      <c r="I119" s="219"/>
      <c r="J119" s="219"/>
      <c r="K119" s="219"/>
      <c r="L119" s="219"/>
      <c r="M119" s="219"/>
      <c r="N119" s="219"/>
    </row>
    <row r="120" spans="1:14" ht="18" customHeight="1">
      <c r="A120" s="292"/>
      <c r="B120" s="294" t="s">
        <v>719</v>
      </c>
      <c r="C120" s="294" t="s">
        <v>721</v>
      </c>
      <c r="D120" s="219">
        <f t="shared" si="29"/>
        <v>0</v>
      </c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</row>
    <row r="121" spans="1:14" ht="18" customHeight="1">
      <c r="A121" s="292"/>
      <c r="B121" s="295"/>
      <c r="C121" s="295"/>
      <c r="D121" s="219">
        <f t="shared" si="29"/>
        <v>8000</v>
      </c>
      <c r="E121" s="219">
        <v>8000</v>
      </c>
      <c r="F121" s="219">
        <v>8000</v>
      </c>
      <c r="G121" s="219"/>
      <c r="H121" s="219">
        <v>8000</v>
      </c>
      <c r="I121" s="219"/>
      <c r="J121" s="219"/>
      <c r="K121" s="219"/>
      <c r="L121" s="219"/>
      <c r="M121" s="219"/>
      <c r="N121" s="219"/>
    </row>
    <row r="122" spans="1:14" ht="18" customHeight="1">
      <c r="A122" s="292"/>
      <c r="B122" s="287"/>
      <c r="C122" s="287"/>
      <c r="D122" s="219">
        <f t="shared" si="29"/>
        <v>8000</v>
      </c>
      <c r="E122" s="219">
        <v>8000</v>
      </c>
      <c r="F122" s="219">
        <v>8000</v>
      </c>
      <c r="G122" s="219"/>
      <c r="H122" s="219">
        <v>8000</v>
      </c>
      <c r="I122" s="219"/>
      <c r="J122" s="219"/>
      <c r="K122" s="219"/>
      <c r="L122" s="219"/>
      <c r="M122" s="219"/>
      <c r="N122" s="219"/>
    </row>
    <row r="123" spans="1:14" ht="18" customHeight="1">
      <c r="A123" s="292"/>
      <c r="B123" s="294" t="s">
        <v>408</v>
      </c>
      <c r="C123" s="294" t="s">
        <v>409</v>
      </c>
      <c r="D123" s="219">
        <f t="shared" si="29"/>
        <v>680169</v>
      </c>
      <c r="E123" s="219" t="s">
        <v>574</v>
      </c>
      <c r="F123" s="219" t="s">
        <v>410</v>
      </c>
      <c r="G123" s="219" t="s">
        <v>411</v>
      </c>
      <c r="H123" s="219" t="s">
        <v>412</v>
      </c>
      <c r="I123" s="219"/>
      <c r="J123" s="219" t="s">
        <v>407</v>
      </c>
      <c r="K123" s="219"/>
      <c r="L123" s="219"/>
      <c r="M123" s="219"/>
      <c r="N123" s="219" t="s">
        <v>575</v>
      </c>
    </row>
    <row r="124" spans="1:14" ht="18" customHeight="1">
      <c r="A124" s="292"/>
      <c r="B124" s="295"/>
      <c r="C124" s="295"/>
      <c r="D124" s="219">
        <f>E124+N124</f>
        <v>1528025.2</v>
      </c>
      <c r="E124" s="219">
        <v>199015.2</v>
      </c>
      <c r="F124" s="219">
        <v>187817.2</v>
      </c>
      <c r="G124" s="219">
        <v>72381.4</v>
      </c>
      <c r="H124" s="219">
        <v>115435.8</v>
      </c>
      <c r="I124" s="219"/>
      <c r="J124" s="219">
        <v>11198</v>
      </c>
      <c r="K124" s="219"/>
      <c r="L124" s="219"/>
      <c r="M124" s="219"/>
      <c r="N124" s="219">
        <v>1329010</v>
      </c>
    </row>
    <row r="125" spans="1:14" ht="18" customHeight="1">
      <c r="A125" s="292"/>
      <c r="B125" s="287"/>
      <c r="C125" s="287"/>
      <c r="D125" s="219">
        <f>E125+N125</f>
        <v>1488432.12</v>
      </c>
      <c r="E125" s="219">
        <f>1488432.12-N125</f>
        <v>187834.29000000004</v>
      </c>
      <c r="F125" s="219">
        <f>E125-J125</f>
        <v>176636.29000000004</v>
      </c>
      <c r="G125" s="219">
        <f>23722.37+1489.4+3812.61+617.63+42672.48</f>
        <v>72314.49</v>
      </c>
      <c r="H125" s="219">
        <f>F125-G125</f>
        <v>104321.80000000003</v>
      </c>
      <c r="I125" s="219"/>
      <c r="J125" s="219">
        <v>11198</v>
      </c>
      <c r="K125" s="219"/>
      <c r="L125" s="219"/>
      <c r="M125" s="219"/>
      <c r="N125" s="219">
        <f>741588.33+559009.5</f>
        <v>1300597.83</v>
      </c>
    </row>
    <row r="126" spans="1:14" ht="18" customHeight="1">
      <c r="A126" s="292"/>
      <c r="B126" s="294" t="s">
        <v>413</v>
      </c>
      <c r="C126" s="294" t="s">
        <v>414</v>
      </c>
      <c r="D126" s="219">
        <f aca="true" t="shared" si="30" ref="D126:D131">E126+N126</f>
        <v>52550</v>
      </c>
      <c r="E126" s="219" t="s">
        <v>415</v>
      </c>
      <c r="F126" s="219" t="s">
        <v>415</v>
      </c>
      <c r="G126" s="219" t="s">
        <v>416</v>
      </c>
      <c r="H126" s="219" t="s">
        <v>417</v>
      </c>
      <c r="I126" s="219"/>
      <c r="J126" s="219"/>
      <c r="K126" s="219"/>
      <c r="L126" s="219"/>
      <c r="M126" s="219"/>
      <c r="N126" s="219"/>
    </row>
    <row r="127" spans="1:14" ht="18" customHeight="1">
      <c r="A127" s="292"/>
      <c r="B127" s="295"/>
      <c r="C127" s="295"/>
      <c r="D127" s="219">
        <f t="shared" si="30"/>
        <v>72820</v>
      </c>
      <c r="E127" s="219">
        <v>57139.99</v>
      </c>
      <c r="F127" s="219">
        <v>57139.99</v>
      </c>
      <c r="G127" s="219">
        <v>34941</v>
      </c>
      <c r="H127" s="219">
        <v>22198.99</v>
      </c>
      <c r="I127" s="219"/>
      <c r="J127" s="219"/>
      <c r="K127" s="219"/>
      <c r="L127" s="219"/>
      <c r="M127" s="219"/>
      <c r="N127" s="219">
        <v>15680.01</v>
      </c>
    </row>
    <row r="128" spans="1:14" ht="18" customHeight="1">
      <c r="A128" s="292"/>
      <c r="B128" s="287"/>
      <c r="C128" s="287"/>
      <c r="D128" s="219">
        <f t="shared" si="30"/>
        <v>63737.18</v>
      </c>
      <c r="E128" s="219">
        <f>63737.18-N128</f>
        <v>48057.17</v>
      </c>
      <c r="F128" s="219">
        <v>48057.17</v>
      </c>
      <c r="G128" s="219">
        <f>27690.68+2025.71+4494.64+728.09</f>
        <v>34939.119999999995</v>
      </c>
      <c r="H128" s="219">
        <f>F128-G128</f>
        <v>13118.050000000003</v>
      </c>
      <c r="I128" s="219"/>
      <c r="J128" s="219"/>
      <c r="K128" s="219"/>
      <c r="L128" s="219"/>
      <c r="M128" s="219"/>
      <c r="N128" s="219">
        <v>15680.01</v>
      </c>
    </row>
    <row r="129" spans="1:14" ht="18" customHeight="1">
      <c r="A129" s="292"/>
      <c r="B129" s="294" t="s">
        <v>418</v>
      </c>
      <c r="C129" s="294" t="s">
        <v>419</v>
      </c>
      <c r="D129" s="219">
        <f t="shared" si="30"/>
        <v>568980</v>
      </c>
      <c r="E129" s="219" t="s">
        <v>420</v>
      </c>
      <c r="F129" s="219" t="s">
        <v>420</v>
      </c>
      <c r="G129" s="219" t="s">
        <v>421</v>
      </c>
      <c r="H129" s="219" t="s">
        <v>422</v>
      </c>
      <c r="I129" s="219"/>
      <c r="J129" s="219"/>
      <c r="K129" s="219"/>
      <c r="L129" s="219"/>
      <c r="M129" s="219"/>
      <c r="N129" s="219" t="s">
        <v>575</v>
      </c>
    </row>
    <row r="130" spans="1:14" ht="18" customHeight="1">
      <c r="A130" s="292"/>
      <c r="B130" s="295"/>
      <c r="C130" s="295"/>
      <c r="D130" s="219">
        <f t="shared" si="30"/>
        <v>225390</v>
      </c>
      <c r="E130" s="219">
        <v>70390</v>
      </c>
      <c r="F130" s="219">
        <v>70390</v>
      </c>
      <c r="G130" s="219">
        <v>57050</v>
      </c>
      <c r="H130" s="219">
        <v>13340</v>
      </c>
      <c r="I130" s="219"/>
      <c r="J130" s="219"/>
      <c r="K130" s="219"/>
      <c r="L130" s="219"/>
      <c r="M130" s="219"/>
      <c r="N130" s="219">
        <v>155000</v>
      </c>
    </row>
    <row r="131" spans="1:14" ht="18" customHeight="1">
      <c r="A131" s="293"/>
      <c r="B131" s="287"/>
      <c r="C131" s="287"/>
      <c r="D131" s="219">
        <f t="shared" si="30"/>
        <v>192458.91</v>
      </c>
      <c r="E131" s="219">
        <f>192458.91-N131</f>
        <v>69404.91</v>
      </c>
      <c r="F131" s="219">
        <v>69404.91</v>
      </c>
      <c r="G131" s="219">
        <f>48385+7315.57+1185.44</f>
        <v>56886.01</v>
      </c>
      <c r="H131" s="219">
        <f>F131-G131</f>
        <v>12518.900000000001</v>
      </c>
      <c r="I131" s="219"/>
      <c r="J131" s="219"/>
      <c r="K131" s="219"/>
      <c r="L131" s="219"/>
      <c r="M131" s="219"/>
      <c r="N131" s="219">
        <v>123054</v>
      </c>
    </row>
    <row r="132" spans="1:14" s="216" customFormat="1" ht="18.75" customHeight="1">
      <c r="A132" s="291" t="s">
        <v>270</v>
      </c>
      <c r="B132" s="296"/>
      <c r="C132" s="296" t="s">
        <v>271</v>
      </c>
      <c r="D132" s="215">
        <f>D135</f>
        <v>36000</v>
      </c>
      <c r="E132" s="215">
        <f aca="true" t="shared" si="31" ref="E132:N132">E135</f>
        <v>36000</v>
      </c>
      <c r="F132" s="215">
        <f t="shared" si="31"/>
        <v>36000</v>
      </c>
      <c r="G132" s="215">
        <f t="shared" si="31"/>
        <v>22000</v>
      </c>
      <c r="H132" s="215" t="str">
        <f t="shared" si="31"/>
        <v>14 000,00</v>
      </c>
      <c r="I132" s="215">
        <f t="shared" si="31"/>
        <v>0</v>
      </c>
      <c r="J132" s="215">
        <f t="shared" si="31"/>
        <v>0</v>
      </c>
      <c r="K132" s="215">
        <f t="shared" si="31"/>
        <v>0</v>
      </c>
      <c r="L132" s="215">
        <f t="shared" si="31"/>
        <v>0</v>
      </c>
      <c r="M132" s="215">
        <f t="shared" si="31"/>
        <v>0</v>
      </c>
      <c r="N132" s="215">
        <f t="shared" si="31"/>
        <v>0</v>
      </c>
    </row>
    <row r="133" spans="1:14" s="216" customFormat="1" ht="18.75" customHeight="1">
      <c r="A133" s="292"/>
      <c r="B133" s="297"/>
      <c r="C133" s="297"/>
      <c r="D133" s="215">
        <f aca="true" t="shared" si="32" ref="D133:N134">D136</f>
        <v>36000</v>
      </c>
      <c r="E133" s="215">
        <f t="shared" si="32"/>
        <v>36000</v>
      </c>
      <c r="F133" s="215">
        <f t="shared" si="32"/>
        <v>36000</v>
      </c>
      <c r="G133" s="215">
        <f t="shared" si="32"/>
        <v>21951.28</v>
      </c>
      <c r="H133" s="215">
        <f t="shared" si="32"/>
        <v>14048.72</v>
      </c>
      <c r="I133" s="215">
        <f t="shared" si="32"/>
        <v>0</v>
      </c>
      <c r="J133" s="215">
        <f t="shared" si="32"/>
        <v>0</v>
      </c>
      <c r="K133" s="215">
        <f t="shared" si="32"/>
        <v>0</v>
      </c>
      <c r="L133" s="215">
        <f t="shared" si="32"/>
        <v>0</v>
      </c>
      <c r="M133" s="215">
        <f t="shared" si="32"/>
        <v>0</v>
      </c>
      <c r="N133" s="215">
        <f t="shared" si="32"/>
        <v>0</v>
      </c>
    </row>
    <row r="134" spans="1:14" s="216" customFormat="1" ht="18.75" customHeight="1">
      <c r="A134" s="292"/>
      <c r="B134" s="298"/>
      <c r="C134" s="298"/>
      <c r="D134" s="215">
        <f t="shared" si="32"/>
        <v>31967.47</v>
      </c>
      <c r="E134" s="215">
        <f t="shared" si="32"/>
        <v>31967.47</v>
      </c>
      <c r="F134" s="215">
        <f t="shared" si="32"/>
        <v>31967.47</v>
      </c>
      <c r="G134" s="215">
        <f t="shared" si="32"/>
        <v>21951.28</v>
      </c>
      <c r="H134" s="215">
        <f t="shared" si="32"/>
        <v>10016.190000000002</v>
      </c>
      <c r="I134" s="215">
        <f t="shared" si="32"/>
        <v>0</v>
      </c>
      <c r="J134" s="215">
        <f t="shared" si="32"/>
        <v>0</v>
      </c>
      <c r="K134" s="215">
        <f t="shared" si="32"/>
        <v>0</v>
      </c>
      <c r="L134" s="215">
        <f t="shared" si="32"/>
        <v>0</v>
      </c>
      <c r="M134" s="215">
        <f t="shared" si="32"/>
        <v>0</v>
      </c>
      <c r="N134" s="215">
        <f t="shared" si="32"/>
        <v>0</v>
      </c>
    </row>
    <row r="135" spans="1:14" ht="18" customHeight="1">
      <c r="A135" s="292"/>
      <c r="B135" s="294" t="s">
        <v>423</v>
      </c>
      <c r="C135" s="294" t="s">
        <v>424</v>
      </c>
      <c r="D135" s="219">
        <f>E135+N135</f>
        <v>36000</v>
      </c>
      <c r="E135" s="219">
        <v>36000</v>
      </c>
      <c r="F135" s="219">
        <v>36000</v>
      </c>
      <c r="G135" s="219">
        <v>22000</v>
      </c>
      <c r="H135" s="219" t="s">
        <v>380</v>
      </c>
      <c r="I135" s="219"/>
      <c r="J135" s="219"/>
      <c r="K135" s="219"/>
      <c r="L135" s="219"/>
      <c r="M135" s="219"/>
      <c r="N135" s="219"/>
    </row>
    <row r="136" spans="1:14" ht="18" customHeight="1">
      <c r="A136" s="292"/>
      <c r="B136" s="295"/>
      <c r="C136" s="295"/>
      <c r="D136" s="219">
        <f>E136+N136</f>
        <v>36000</v>
      </c>
      <c r="E136" s="219">
        <v>36000</v>
      </c>
      <c r="F136" s="219">
        <v>36000</v>
      </c>
      <c r="G136" s="219">
        <v>21951.28</v>
      </c>
      <c r="H136" s="219">
        <v>14048.72</v>
      </c>
      <c r="I136" s="219"/>
      <c r="J136" s="219"/>
      <c r="K136" s="219"/>
      <c r="L136" s="219"/>
      <c r="M136" s="219"/>
      <c r="N136" s="219"/>
    </row>
    <row r="137" spans="1:14" ht="18" customHeight="1">
      <c r="A137" s="293"/>
      <c r="B137" s="287"/>
      <c r="C137" s="287"/>
      <c r="D137" s="219">
        <f>E137+N137</f>
        <v>31967.47</v>
      </c>
      <c r="E137" s="219">
        <v>31967.47</v>
      </c>
      <c r="F137" s="219">
        <v>31967.47</v>
      </c>
      <c r="G137" s="219">
        <v>21951.28</v>
      </c>
      <c r="H137" s="219">
        <f>F137-G137</f>
        <v>10016.190000000002</v>
      </c>
      <c r="I137" s="219"/>
      <c r="J137" s="219"/>
      <c r="K137" s="219"/>
      <c r="L137" s="219"/>
      <c r="M137" s="219"/>
      <c r="N137" s="219"/>
    </row>
    <row r="138" spans="1:14" s="216" customFormat="1" ht="18" customHeight="1">
      <c r="A138" s="291" t="s">
        <v>300</v>
      </c>
      <c r="B138" s="296"/>
      <c r="C138" s="296" t="s">
        <v>301</v>
      </c>
      <c r="D138" s="215">
        <f>D141+D144</f>
        <v>1595132</v>
      </c>
      <c r="E138" s="215">
        <f aca="true" t="shared" si="33" ref="E138:N138">E141+E144</f>
        <v>1595132</v>
      </c>
      <c r="F138" s="215">
        <f t="shared" si="33"/>
        <v>1595132</v>
      </c>
      <c r="G138" s="215">
        <f t="shared" si="33"/>
        <v>0</v>
      </c>
      <c r="H138" s="215">
        <f t="shared" si="33"/>
        <v>1595132</v>
      </c>
      <c r="I138" s="215">
        <f t="shared" si="33"/>
        <v>0</v>
      </c>
      <c r="J138" s="215">
        <f t="shared" si="33"/>
        <v>0</v>
      </c>
      <c r="K138" s="215">
        <f t="shared" si="33"/>
        <v>0</v>
      </c>
      <c r="L138" s="215">
        <f t="shared" si="33"/>
        <v>0</v>
      </c>
      <c r="M138" s="215">
        <f t="shared" si="33"/>
        <v>0</v>
      </c>
      <c r="N138" s="215">
        <f t="shared" si="33"/>
        <v>0</v>
      </c>
    </row>
    <row r="139" spans="1:14" s="216" customFormat="1" ht="18" customHeight="1">
      <c r="A139" s="292"/>
      <c r="B139" s="297"/>
      <c r="C139" s="297"/>
      <c r="D139" s="215">
        <f aca="true" t="shared" si="34" ref="D139:N140">D142+D145</f>
        <v>1477967</v>
      </c>
      <c r="E139" s="215">
        <f t="shared" si="34"/>
        <v>1477967</v>
      </c>
      <c r="F139" s="215">
        <f t="shared" si="34"/>
        <v>1477967</v>
      </c>
      <c r="G139" s="215">
        <f t="shared" si="34"/>
        <v>0</v>
      </c>
      <c r="H139" s="215">
        <f t="shared" si="34"/>
        <v>1477967</v>
      </c>
      <c r="I139" s="215">
        <f t="shared" si="34"/>
        <v>0</v>
      </c>
      <c r="J139" s="215">
        <f t="shared" si="34"/>
        <v>0</v>
      </c>
      <c r="K139" s="215">
        <f t="shared" si="34"/>
        <v>0</v>
      </c>
      <c r="L139" s="215">
        <f t="shared" si="34"/>
        <v>0</v>
      </c>
      <c r="M139" s="215">
        <f t="shared" si="34"/>
        <v>0</v>
      </c>
      <c r="N139" s="215">
        <f t="shared" si="34"/>
        <v>0</v>
      </c>
    </row>
    <row r="140" spans="1:14" s="216" customFormat="1" ht="18" customHeight="1">
      <c r="A140" s="292"/>
      <c r="B140" s="298"/>
      <c r="C140" s="298"/>
      <c r="D140" s="215">
        <f t="shared" si="34"/>
        <v>1445132</v>
      </c>
      <c r="E140" s="215">
        <f t="shared" si="34"/>
        <v>1445132</v>
      </c>
      <c r="F140" s="215">
        <f t="shared" si="34"/>
        <v>1445132</v>
      </c>
      <c r="G140" s="215">
        <f t="shared" si="34"/>
        <v>0</v>
      </c>
      <c r="H140" s="215">
        <f t="shared" si="34"/>
        <v>1445132</v>
      </c>
      <c r="I140" s="215">
        <f t="shared" si="34"/>
        <v>0</v>
      </c>
      <c r="J140" s="215">
        <f t="shared" si="34"/>
        <v>0</v>
      </c>
      <c r="K140" s="215">
        <f t="shared" si="34"/>
        <v>0</v>
      </c>
      <c r="L140" s="215">
        <f t="shared" si="34"/>
        <v>0</v>
      </c>
      <c r="M140" s="215">
        <f t="shared" si="34"/>
        <v>0</v>
      </c>
      <c r="N140" s="215">
        <f t="shared" si="34"/>
        <v>0</v>
      </c>
    </row>
    <row r="141" spans="1:14" ht="18" customHeight="1">
      <c r="A141" s="292"/>
      <c r="B141" s="294" t="s">
        <v>425</v>
      </c>
      <c r="C141" s="294" t="s">
        <v>426</v>
      </c>
      <c r="D141" s="219">
        <f aca="true" t="shared" si="35" ref="D141:D146">E141+N141</f>
        <v>150000</v>
      </c>
      <c r="E141" s="219" t="s">
        <v>427</v>
      </c>
      <c r="F141" s="219" t="s">
        <v>427</v>
      </c>
      <c r="G141" s="219"/>
      <c r="H141" s="219" t="s">
        <v>427</v>
      </c>
      <c r="I141" s="219"/>
      <c r="J141" s="219"/>
      <c r="K141" s="219"/>
      <c r="L141" s="219"/>
      <c r="M141" s="219"/>
      <c r="N141" s="219"/>
    </row>
    <row r="142" spans="1:14" ht="18" customHeight="1">
      <c r="A142" s="292"/>
      <c r="B142" s="295"/>
      <c r="C142" s="295"/>
      <c r="D142" s="219">
        <f t="shared" si="35"/>
        <v>32835</v>
      </c>
      <c r="E142" s="219">
        <v>32835</v>
      </c>
      <c r="F142" s="219">
        <v>32835</v>
      </c>
      <c r="G142" s="219"/>
      <c r="H142" s="219">
        <v>32835</v>
      </c>
      <c r="I142" s="219"/>
      <c r="J142" s="219"/>
      <c r="K142" s="219"/>
      <c r="L142" s="219"/>
      <c r="M142" s="219"/>
      <c r="N142" s="219"/>
    </row>
    <row r="143" spans="1:14" ht="18" customHeight="1">
      <c r="A143" s="292"/>
      <c r="B143" s="287"/>
      <c r="C143" s="287"/>
      <c r="D143" s="219">
        <f t="shared" si="35"/>
        <v>0</v>
      </c>
      <c r="E143" s="219">
        <v>0</v>
      </c>
      <c r="F143" s="219">
        <v>0</v>
      </c>
      <c r="G143" s="219"/>
      <c r="H143" s="219">
        <v>0</v>
      </c>
      <c r="I143" s="219"/>
      <c r="J143" s="219"/>
      <c r="K143" s="219"/>
      <c r="L143" s="219"/>
      <c r="M143" s="219"/>
      <c r="N143" s="219"/>
    </row>
    <row r="144" spans="1:14" ht="18" customHeight="1">
      <c r="A144" s="292"/>
      <c r="B144" s="294" t="s">
        <v>428</v>
      </c>
      <c r="C144" s="294" t="s">
        <v>429</v>
      </c>
      <c r="D144" s="219">
        <f t="shared" si="35"/>
        <v>1445132</v>
      </c>
      <c r="E144" s="219" t="s">
        <v>430</v>
      </c>
      <c r="F144" s="219" t="s">
        <v>430</v>
      </c>
      <c r="G144" s="219"/>
      <c r="H144" s="219" t="s">
        <v>430</v>
      </c>
      <c r="I144" s="219"/>
      <c r="J144" s="219"/>
      <c r="K144" s="219"/>
      <c r="L144" s="219"/>
      <c r="M144" s="219"/>
      <c r="N144" s="219"/>
    </row>
    <row r="145" spans="1:14" ht="18" customHeight="1">
      <c r="A145" s="292"/>
      <c r="B145" s="295"/>
      <c r="C145" s="295"/>
      <c r="D145" s="219">
        <f t="shared" si="35"/>
        <v>1445132</v>
      </c>
      <c r="E145" s="219">
        <v>1445132</v>
      </c>
      <c r="F145" s="219">
        <v>1445132</v>
      </c>
      <c r="G145" s="219"/>
      <c r="H145" s="219">
        <v>1445132</v>
      </c>
      <c r="I145" s="219"/>
      <c r="J145" s="219"/>
      <c r="K145" s="219"/>
      <c r="L145" s="219"/>
      <c r="M145" s="219"/>
      <c r="N145" s="219"/>
    </row>
    <row r="146" spans="1:14" ht="18" customHeight="1">
      <c r="A146" s="292"/>
      <c r="B146" s="287"/>
      <c r="C146" s="287"/>
      <c r="D146" s="219">
        <f t="shared" si="35"/>
        <v>1445132</v>
      </c>
      <c r="E146" s="219">
        <v>1445132</v>
      </c>
      <c r="F146" s="219">
        <f>E146</f>
        <v>1445132</v>
      </c>
      <c r="G146" s="219"/>
      <c r="H146" s="219">
        <f>F146</f>
        <v>1445132</v>
      </c>
      <c r="I146" s="219"/>
      <c r="J146" s="219"/>
      <c r="K146" s="219"/>
      <c r="L146" s="219"/>
      <c r="M146" s="219"/>
      <c r="N146" s="219"/>
    </row>
    <row r="147" spans="1:14" s="216" customFormat="1" ht="18" customHeight="1">
      <c r="A147" s="310" t="s">
        <v>304</v>
      </c>
      <c r="B147" s="304"/>
      <c r="C147" s="296" t="s">
        <v>305</v>
      </c>
      <c r="D147" s="215">
        <f>D150+D153+D156+D159+D162+D165+D168</f>
        <v>6283934</v>
      </c>
      <c r="E147" s="215">
        <f aca="true" t="shared" si="36" ref="E147:N147">E150+E153+E156+E159+E162+E165+E168</f>
        <v>4802234</v>
      </c>
      <c r="F147" s="215">
        <f t="shared" si="36"/>
        <v>4601108</v>
      </c>
      <c r="G147" s="215">
        <f t="shared" si="36"/>
        <v>3465876</v>
      </c>
      <c r="H147" s="215">
        <f t="shared" si="36"/>
        <v>1135232</v>
      </c>
      <c r="I147" s="215">
        <f t="shared" si="36"/>
        <v>23500</v>
      </c>
      <c r="J147" s="215">
        <f t="shared" si="36"/>
        <v>177626</v>
      </c>
      <c r="K147" s="215">
        <f t="shared" si="36"/>
        <v>0</v>
      </c>
      <c r="L147" s="215">
        <f t="shared" si="36"/>
        <v>0</v>
      </c>
      <c r="M147" s="215">
        <f t="shared" si="36"/>
        <v>0</v>
      </c>
      <c r="N147" s="215">
        <f t="shared" si="36"/>
        <v>1481700</v>
      </c>
    </row>
    <row r="148" spans="1:14" s="216" customFormat="1" ht="18" customHeight="1">
      <c r="A148" s="313"/>
      <c r="B148" s="305"/>
      <c r="C148" s="297"/>
      <c r="D148" s="215">
        <f aca="true" t="shared" si="37" ref="D148:N149">D151+D154+D157+D160+D163+D166+D169</f>
        <v>7461029</v>
      </c>
      <c r="E148" s="215">
        <f t="shared" si="37"/>
        <v>4719104.7</v>
      </c>
      <c r="F148" s="215">
        <f t="shared" si="37"/>
        <v>4496978.7</v>
      </c>
      <c r="G148" s="215">
        <f t="shared" si="37"/>
        <v>3343176</v>
      </c>
      <c r="H148" s="215">
        <f t="shared" si="37"/>
        <v>1153802.7</v>
      </c>
      <c r="I148" s="215">
        <f t="shared" si="37"/>
        <v>44500</v>
      </c>
      <c r="J148" s="215">
        <f t="shared" si="37"/>
        <v>177626</v>
      </c>
      <c r="K148" s="215">
        <f t="shared" si="37"/>
        <v>0</v>
      </c>
      <c r="L148" s="215">
        <f t="shared" si="37"/>
        <v>0</v>
      </c>
      <c r="M148" s="215">
        <f t="shared" si="37"/>
        <v>0</v>
      </c>
      <c r="N148" s="215">
        <f t="shared" si="37"/>
        <v>2741924.3</v>
      </c>
    </row>
    <row r="149" spans="1:14" s="216" customFormat="1" ht="18" customHeight="1">
      <c r="A149" s="313"/>
      <c r="B149" s="306"/>
      <c r="C149" s="298"/>
      <c r="D149" s="215">
        <f t="shared" si="37"/>
        <v>7389190.23</v>
      </c>
      <c r="E149" s="215">
        <f t="shared" si="37"/>
        <v>4659824.550000001</v>
      </c>
      <c r="F149" s="215">
        <f t="shared" si="37"/>
        <v>4451963.88</v>
      </c>
      <c r="G149" s="215">
        <f t="shared" si="37"/>
        <v>3321076.6999999997</v>
      </c>
      <c r="H149" s="215">
        <f t="shared" si="37"/>
        <v>1130887.1800000004</v>
      </c>
      <c r="I149" s="215">
        <f t="shared" si="37"/>
        <v>40171.6</v>
      </c>
      <c r="J149" s="215">
        <f t="shared" si="37"/>
        <v>167689.07</v>
      </c>
      <c r="K149" s="215">
        <f t="shared" si="37"/>
        <v>0</v>
      </c>
      <c r="L149" s="215">
        <f t="shared" si="37"/>
        <v>0</v>
      </c>
      <c r="M149" s="215">
        <f t="shared" si="37"/>
        <v>0</v>
      </c>
      <c r="N149" s="215">
        <f t="shared" si="37"/>
        <v>2729365.6799999997</v>
      </c>
    </row>
    <row r="150" spans="1:14" ht="16.5" customHeight="1">
      <c r="A150" s="313"/>
      <c r="B150" s="307" t="s">
        <v>432</v>
      </c>
      <c r="C150" s="294" t="s">
        <v>433</v>
      </c>
      <c r="D150" s="219">
        <f aca="true" t="shared" si="38" ref="D150:D170">E150+N150</f>
        <v>4141075</v>
      </c>
      <c r="E150" s="219" t="s">
        <v>576</v>
      </c>
      <c r="F150" s="219" t="s">
        <v>434</v>
      </c>
      <c r="G150" s="219" t="s">
        <v>435</v>
      </c>
      <c r="H150" s="219" t="s">
        <v>436</v>
      </c>
      <c r="I150" s="219"/>
      <c r="J150" s="219" t="s">
        <v>437</v>
      </c>
      <c r="K150" s="219"/>
      <c r="L150" s="219"/>
      <c r="M150" s="219"/>
      <c r="N150" s="219" t="s">
        <v>577</v>
      </c>
    </row>
    <row r="151" spans="1:14" ht="16.5" customHeight="1">
      <c r="A151" s="313"/>
      <c r="B151" s="308"/>
      <c r="C151" s="295"/>
      <c r="D151" s="219">
        <f t="shared" si="38"/>
        <v>5260869.63</v>
      </c>
      <c r="E151" s="219">
        <v>2644985.33</v>
      </c>
      <c r="F151" s="219">
        <v>2541766.33</v>
      </c>
      <c r="G151" s="219">
        <v>1852356</v>
      </c>
      <c r="H151" s="219">
        <v>689410.33</v>
      </c>
      <c r="I151" s="219"/>
      <c r="J151" s="219">
        <v>103219</v>
      </c>
      <c r="K151" s="219"/>
      <c r="L151" s="219"/>
      <c r="M151" s="219"/>
      <c r="N151" s="219">
        <v>2615884.3</v>
      </c>
    </row>
    <row r="152" spans="1:14" ht="16.5" customHeight="1">
      <c r="A152" s="313"/>
      <c r="B152" s="309"/>
      <c r="C152" s="287"/>
      <c r="D152" s="219">
        <f t="shared" si="38"/>
        <v>5228475.33</v>
      </c>
      <c r="E152" s="219">
        <f>5228475.33-N152</f>
        <v>2620404.3000000003</v>
      </c>
      <c r="F152" s="219">
        <f>E152-J152</f>
        <v>2523687.24</v>
      </c>
      <c r="G152" s="219">
        <f>1456884.12+102978.25+245724.69+39903.9+2882</f>
        <v>1848372.96</v>
      </c>
      <c r="H152" s="219">
        <f>F152-G152</f>
        <v>675314.2800000003</v>
      </c>
      <c r="I152" s="219"/>
      <c r="J152" s="219">
        <v>96717.06</v>
      </c>
      <c r="K152" s="219"/>
      <c r="L152" s="219"/>
      <c r="M152" s="219"/>
      <c r="N152" s="219">
        <f>2585786.55+22284.48</f>
        <v>2608071.03</v>
      </c>
    </row>
    <row r="153" spans="1:14" ht="16.5" customHeight="1">
      <c r="A153" s="313"/>
      <c r="B153" s="307" t="s">
        <v>438</v>
      </c>
      <c r="C153" s="294" t="s">
        <v>439</v>
      </c>
      <c r="D153" s="219">
        <f t="shared" si="38"/>
        <v>82742</v>
      </c>
      <c r="E153" s="219" t="s">
        <v>440</v>
      </c>
      <c r="F153" s="219" t="s">
        <v>441</v>
      </c>
      <c r="G153" s="219" t="s">
        <v>442</v>
      </c>
      <c r="H153" s="219" t="s">
        <v>443</v>
      </c>
      <c r="I153" s="219"/>
      <c r="J153" s="219" t="s">
        <v>444</v>
      </c>
      <c r="K153" s="219"/>
      <c r="L153" s="219"/>
      <c r="M153" s="219"/>
      <c r="N153" s="219"/>
    </row>
    <row r="154" spans="1:14" ht="16.5" customHeight="1">
      <c r="A154" s="313"/>
      <c r="B154" s="308"/>
      <c r="C154" s="295"/>
      <c r="D154" s="219">
        <f t="shared" si="38"/>
        <v>82742</v>
      </c>
      <c r="E154" s="219">
        <v>82742</v>
      </c>
      <c r="F154" s="219">
        <v>79108</v>
      </c>
      <c r="G154" s="219">
        <v>65558</v>
      </c>
      <c r="H154" s="219">
        <v>13550</v>
      </c>
      <c r="I154" s="219"/>
      <c r="J154" s="219">
        <v>3634</v>
      </c>
      <c r="K154" s="219"/>
      <c r="L154" s="219"/>
      <c r="M154" s="219"/>
      <c r="N154" s="219"/>
    </row>
    <row r="155" spans="1:14" ht="16.5" customHeight="1">
      <c r="A155" s="313"/>
      <c r="B155" s="309"/>
      <c r="C155" s="287"/>
      <c r="D155" s="219">
        <f t="shared" si="38"/>
        <v>68359.57</v>
      </c>
      <c r="E155" s="219">
        <v>68359.57</v>
      </c>
      <c r="F155" s="219">
        <f>E155-J155</f>
        <v>65624.77</v>
      </c>
      <c r="G155" s="219">
        <f>40315.22+3991.39+6907.18+1120.71</f>
        <v>52334.5</v>
      </c>
      <c r="H155" s="219">
        <f>F155-G155</f>
        <v>13290.270000000004</v>
      </c>
      <c r="I155" s="219"/>
      <c r="J155" s="219">
        <v>2734.8</v>
      </c>
      <c r="K155" s="219"/>
      <c r="L155" s="219"/>
      <c r="M155" s="219"/>
      <c r="N155" s="219"/>
    </row>
    <row r="156" spans="1:14" ht="16.5" customHeight="1">
      <c r="A156" s="313"/>
      <c r="B156" s="307" t="s">
        <v>445</v>
      </c>
      <c r="C156" s="294" t="s">
        <v>446</v>
      </c>
      <c r="D156" s="219">
        <f t="shared" si="38"/>
        <v>443247</v>
      </c>
      <c r="E156" s="219" t="s">
        <v>578</v>
      </c>
      <c r="F156" s="219" t="s">
        <v>447</v>
      </c>
      <c r="G156" s="219" t="s">
        <v>448</v>
      </c>
      <c r="H156" s="219" t="s">
        <v>449</v>
      </c>
      <c r="I156" s="219"/>
      <c r="J156" s="219" t="s">
        <v>450</v>
      </c>
      <c r="K156" s="219"/>
      <c r="L156" s="219"/>
      <c r="M156" s="219"/>
      <c r="N156" s="219" t="s">
        <v>398</v>
      </c>
    </row>
    <row r="157" spans="1:14" ht="16.5" customHeight="1">
      <c r="A157" s="313"/>
      <c r="B157" s="308"/>
      <c r="C157" s="295"/>
      <c r="D157" s="219">
        <f t="shared" si="38"/>
        <v>405247</v>
      </c>
      <c r="E157" s="219">
        <v>405247</v>
      </c>
      <c r="F157" s="219">
        <v>372175</v>
      </c>
      <c r="G157" s="219">
        <v>303472</v>
      </c>
      <c r="H157" s="219">
        <v>68703</v>
      </c>
      <c r="I157" s="219">
        <v>21000</v>
      </c>
      <c r="J157" s="219">
        <v>12072</v>
      </c>
      <c r="K157" s="219"/>
      <c r="L157" s="219"/>
      <c r="M157" s="219"/>
      <c r="N157" s="219"/>
    </row>
    <row r="158" spans="1:14" ht="16.5" customHeight="1">
      <c r="A158" s="314"/>
      <c r="B158" s="309"/>
      <c r="C158" s="287"/>
      <c r="D158" s="219">
        <f t="shared" si="38"/>
        <v>395827.78</v>
      </c>
      <c r="E158" s="219">
        <v>395827.78</v>
      </c>
      <c r="F158" s="219">
        <f>E158-I158-J158</f>
        <v>369503.98000000004</v>
      </c>
      <c r="G158" s="219">
        <f>244359.43+15398.71+35446.99+6278.62</f>
        <v>301483.75</v>
      </c>
      <c r="H158" s="219">
        <f>F158-G158</f>
        <v>68020.23000000004</v>
      </c>
      <c r="I158" s="219">
        <v>16671.6</v>
      </c>
      <c r="J158" s="219">
        <v>9652.2</v>
      </c>
      <c r="K158" s="219"/>
      <c r="L158" s="219"/>
      <c r="M158" s="219"/>
      <c r="N158" s="219"/>
    </row>
    <row r="159" spans="1:14" ht="18" customHeight="1">
      <c r="A159" s="310" t="s">
        <v>304</v>
      </c>
      <c r="B159" s="307" t="s">
        <v>451</v>
      </c>
      <c r="C159" s="294" t="s">
        <v>452</v>
      </c>
      <c r="D159" s="219">
        <f t="shared" si="38"/>
        <v>1374923</v>
      </c>
      <c r="E159" s="219" t="s">
        <v>579</v>
      </c>
      <c r="F159" s="219" t="s">
        <v>453</v>
      </c>
      <c r="G159" s="219" t="s">
        <v>454</v>
      </c>
      <c r="H159" s="219" t="s">
        <v>455</v>
      </c>
      <c r="I159" s="219"/>
      <c r="J159" s="219" t="s">
        <v>456</v>
      </c>
      <c r="K159" s="219"/>
      <c r="L159" s="219"/>
      <c r="M159" s="219"/>
      <c r="N159" s="219" t="s">
        <v>375</v>
      </c>
    </row>
    <row r="160" spans="1:14" ht="18" customHeight="1">
      <c r="A160" s="311"/>
      <c r="B160" s="308"/>
      <c r="C160" s="295"/>
      <c r="D160" s="219">
        <f t="shared" si="38"/>
        <v>1453373.37</v>
      </c>
      <c r="E160" s="219">
        <v>1327333.37</v>
      </c>
      <c r="F160" s="219">
        <v>1268632.37</v>
      </c>
      <c r="G160" s="219">
        <v>1081977</v>
      </c>
      <c r="H160" s="219">
        <v>186655.37</v>
      </c>
      <c r="I160" s="219"/>
      <c r="J160" s="219">
        <v>58701</v>
      </c>
      <c r="K160" s="219"/>
      <c r="L160" s="219"/>
      <c r="M160" s="219"/>
      <c r="N160" s="219">
        <v>126040</v>
      </c>
    </row>
    <row r="161" spans="1:14" ht="18" customHeight="1">
      <c r="A161" s="311"/>
      <c r="B161" s="309"/>
      <c r="C161" s="287"/>
      <c r="D161" s="219">
        <f t="shared" si="38"/>
        <v>1445604.12</v>
      </c>
      <c r="E161" s="219">
        <f>1445604.12-N161</f>
        <v>1324309.4700000002</v>
      </c>
      <c r="F161" s="219">
        <f>E161-J161</f>
        <v>1265724.4600000002</v>
      </c>
      <c r="G161" s="219">
        <f>859139.36+54132.6+143622.82+22941.2</f>
        <v>1079835.98</v>
      </c>
      <c r="H161" s="219">
        <f>F161-G161</f>
        <v>185888.4800000002</v>
      </c>
      <c r="I161" s="219"/>
      <c r="J161" s="219">
        <v>58585.01</v>
      </c>
      <c r="K161" s="219"/>
      <c r="L161" s="219"/>
      <c r="M161" s="219"/>
      <c r="N161" s="219">
        <f>54351.32+54948.33+11995</f>
        <v>121294.65</v>
      </c>
    </row>
    <row r="162" spans="1:14" ht="18" customHeight="1">
      <c r="A162" s="311"/>
      <c r="B162" s="307" t="s">
        <v>177</v>
      </c>
      <c r="C162" s="294" t="s">
        <v>457</v>
      </c>
      <c r="D162" s="219">
        <f t="shared" si="38"/>
        <v>202063</v>
      </c>
      <c r="E162" s="219" t="s">
        <v>458</v>
      </c>
      <c r="F162" s="219" t="s">
        <v>459</v>
      </c>
      <c r="G162" s="219" t="s">
        <v>460</v>
      </c>
      <c r="H162" s="219" t="s">
        <v>461</v>
      </c>
      <c r="I162" s="219" t="s">
        <v>431</v>
      </c>
      <c r="J162" s="219"/>
      <c r="K162" s="219"/>
      <c r="L162" s="219"/>
      <c r="M162" s="219"/>
      <c r="N162" s="219"/>
    </row>
    <row r="163" spans="1:14" ht="18" customHeight="1">
      <c r="A163" s="311"/>
      <c r="B163" s="308"/>
      <c r="C163" s="295"/>
      <c r="D163" s="219">
        <f t="shared" si="38"/>
        <v>235063</v>
      </c>
      <c r="E163" s="219">
        <v>235063</v>
      </c>
      <c r="F163" s="219">
        <v>211563</v>
      </c>
      <c r="G163" s="219">
        <v>39813</v>
      </c>
      <c r="H163" s="219">
        <v>171750</v>
      </c>
      <c r="I163" s="219">
        <v>23500</v>
      </c>
      <c r="J163" s="219"/>
      <c r="K163" s="219"/>
      <c r="L163" s="219"/>
      <c r="M163" s="219"/>
      <c r="N163" s="219"/>
    </row>
    <row r="164" spans="1:14" ht="18" customHeight="1">
      <c r="A164" s="311"/>
      <c r="B164" s="309"/>
      <c r="C164" s="287"/>
      <c r="D164" s="219">
        <f t="shared" si="38"/>
        <v>227868.43</v>
      </c>
      <c r="E164" s="219">
        <v>227868.43</v>
      </c>
      <c r="F164" s="219">
        <f>E164-I164</f>
        <v>204368.43</v>
      </c>
      <c r="G164" s="219">
        <f>27246.88+1857.11+5984.63+950.89+3010</f>
        <v>39049.51</v>
      </c>
      <c r="H164" s="219">
        <f>F164-G164</f>
        <v>165318.91999999998</v>
      </c>
      <c r="I164" s="219">
        <v>23500</v>
      </c>
      <c r="J164" s="219"/>
      <c r="K164" s="219"/>
      <c r="L164" s="219"/>
      <c r="M164" s="219"/>
      <c r="N164" s="219"/>
    </row>
    <row r="165" spans="1:14" ht="18" customHeight="1">
      <c r="A165" s="311"/>
      <c r="B165" s="307" t="s">
        <v>462</v>
      </c>
      <c r="C165" s="294" t="s">
        <v>463</v>
      </c>
      <c r="D165" s="219">
        <f t="shared" si="38"/>
        <v>23734</v>
      </c>
      <c r="E165" s="219" t="s">
        <v>464</v>
      </c>
      <c r="F165" s="219" t="s">
        <v>464</v>
      </c>
      <c r="G165" s="219"/>
      <c r="H165" s="219" t="s">
        <v>464</v>
      </c>
      <c r="I165" s="219"/>
      <c r="J165" s="219"/>
      <c r="K165" s="219"/>
      <c r="L165" s="219"/>
      <c r="M165" s="219"/>
      <c r="N165" s="219"/>
    </row>
    <row r="166" spans="1:14" ht="18" customHeight="1">
      <c r="A166" s="311"/>
      <c r="B166" s="308"/>
      <c r="C166" s="295"/>
      <c r="D166" s="219">
        <f t="shared" si="38"/>
        <v>23734</v>
      </c>
      <c r="E166" s="219">
        <v>23734</v>
      </c>
      <c r="F166" s="219">
        <v>23734</v>
      </c>
      <c r="G166" s="219"/>
      <c r="H166" s="219">
        <v>23734</v>
      </c>
      <c r="I166" s="219"/>
      <c r="J166" s="219"/>
      <c r="K166" s="219"/>
      <c r="L166" s="219"/>
      <c r="M166" s="219"/>
      <c r="N166" s="219"/>
    </row>
    <row r="167" spans="1:14" ht="18" customHeight="1">
      <c r="A167" s="311"/>
      <c r="B167" s="309"/>
      <c r="C167" s="287"/>
      <c r="D167" s="219">
        <f t="shared" si="38"/>
        <v>23055</v>
      </c>
      <c r="E167" s="219">
        <v>23055</v>
      </c>
      <c r="F167" s="219">
        <v>23055</v>
      </c>
      <c r="G167" s="219"/>
      <c r="H167" s="219">
        <v>23055</v>
      </c>
      <c r="I167" s="219"/>
      <c r="J167" s="219"/>
      <c r="K167" s="219"/>
      <c r="L167" s="219"/>
      <c r="M167" s="219"/>
      <c r="N167" s="219"/>
    </row>
    <row r="168" spans="1:14" ht="18" customHeight="1">
      <c r="A168" s="311"/>
      <c r="B168" s="307" t="s">
        <v>465</v>
      </c>
      <c r="C168" s="294" t="s">
        <v>355</v>
      </c>
      <c r="D168" s="219">
        <f t="shared" si="38"/>
        <v>16150</v>
      </c>
      <c r="E168" s="219" t="s">
        <v>466</v>
      </c>
      <c r="F168" s="219" t="s">
        <v>466</v>
      </c>
      <c r="G168" s="219" t="s">
        <v>467</v>
      </c>
      <c r="H168" s="219" t="s">
        <v>468</v>
      </c>
      <c r="I168" s="219"/>
      <c r="J168" s="219"/>
      <c r="K168" s="219"/>
      <c r="L168" s="219"/>
      <c r="M168" s="219"/>
      <c r="N168" s="219"/>
    </row>
    <row r="169" spans="1:14" ht="18" customHeight="1">
      <c r="A169" s="311"/>
      <c r="B169" s="308"/>
      <c r="C169" s="295"/>
      <c r="D169" s="219">
        <f t="shared" si="38"/>
        <v>0</v>
      </c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</row>
    <row r="170" spans="1:14" ht="18" customHeight="1">
      <c r="A170" s="312"/>
      <c r="B170" s="309"/>
      <c r="C170" s="287"/>
      <c r="D170" s="219">
        <f t="shared" si="38"/>
        <v>0</v>
      </c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</row>
    <row r="171" spans="1:14" s="216" customFormat="1" ht="18" customHeight="1">
      <c r="A171" s="292" t="s">
        <v>722</v>
      </c>
      <c r="B171" s="296"/>
      <c r="C171" s="296" t="s">
        <v>724</v>
      </c>
      <c r="D171" s="215">
        <f>D174</f>
        <v>0</v>
      </c>
      <c r="E171" s="215">
        <f aca="true" t="shared" si="39" ref="E171:N171">E174</f>
        <v>0</v>
      </c>
      <c r="F171" s="215">
        <f t="shared" si="39"/>
        <v>0</v>
      </c>
      <c r="G171" s="215">
        <f t="shared" si="39"/>
        <v>0</v>
      </c>
      <c r="H171" s="215">
        <f t="shared" si="39"/>
        <v>0</v>
      </c>
      <c r="I171" s="215">
        <f t="shared" si="39"/>
        <v>0</v>
      </c>
      <c r="J171" s="215">
        <f t="shared" si="39"/>
        <v>0</v>
      </c>
      <c r="K171" s="215">
        <f t="shared" si="39"/>
        <v>0</v>
      </c>
      <c r="L171" s="215">
        <f t="shared" si="39"/>
        <v>0</v>
      </c>
      <c r="M171" s="215">
        <f t="shared" si="39"/>
        <v>0</v>
      </c>
      <c r="N171" s="215">
        <f t="shared" si="39"/>
        <v>0</v>
      </c>
    </row>
    <row r="172" spans="1:14" s="216" customFormat="1" ht="18" customHeight="1">
      <c r="A172" s="292"/>
      <c r="B172" s="297"/>
      <c r="C172" s="297"/>
      <c r="D172" s="215">
        <f aca="true" t="shared" si="40" ref="D172:N172">D175</f>
        <v>50000</v>
      </c>
      <c r="E172" s="215">
        <f t="shared" si="40"/>
        <v>0</v>
      </c>
      <c r="F172" s="215">
        <f t="shared" si="40"/>
        <v>0</v>
      </c>
      <c r="G172" s="215">
        <f t="shared" si="40"/>
        <v>0</v>
      </c>
      <c r="H172" s="215">
        <f t="shared" si="40"/>
        <v>0</v>
      </c>
      <c r="I172" s="215">
        <f t="shared" si="40"/>
        <v>0</v>
      </c>
      <c r="J172" s="215">
        <f t="shared" si="40"/>
        <v>0</v>
      </c>
      <c r="K172" s="215">
        <f t="shared" si="40"/>
        <v>0</v>
      </c>
      <c r="L172" s="215">
        <f t="shared" si="40"/>
        <v>0</v>
      </c>
      <c r="M172" s="215">
        <f t="shared" si="40"/>
        <v>0</v>
      </c>
      <c r="N172" s="215">
        <f t="shared" si="40"/>
        <v>50000</v>
      </c>
    </row>
    <row r="173" spans="1:14" s="216" customFormat="1" ht="18" customHeight="1">
      <c r="A173" s="292"/>
      <c r="B173" s="298"/>
      <c r="C173" s="298"/>
      <c r="D173" s="215">
        <f aca="true" t="shared" si="41" ref="D173:N173">D176</f>
        <v>40983.24</v>
      </c>
      <c r="E173" s="215">
        <f t="shared" si="41"/>
        <v>0</v>
      </c>
      <c r="F173" s="215">
        <f t="shared" si="41"/>
        <v>0</v>
      </c>
      <c r="G173" s="215">
        <f t="shared" si="41"/>
        <v>0</v>
      </c>
      <c r="H173" s="215">
        <f t="shared" si="41"/>
        <v>0</v>
      </c>
      <c r="I173" s="215">
        <f t="shared" si="41"/>
        <v>0</v>
      </c>
      <c r="J173" s="215">
        <f t="shared" si="41"/>
        <v>0</v>
      </c>
      <c r="K173" s="215">
        <f t="shared" si="41"/>
        <v>0</v>
      </c>
      <c r="L173" s="215">
        <f t="shared" si="41"/>
        <v>0</v>
      </c>
      <c r="M173" s="215">
        <f t="shared" si="41"/>
        <v>0</v>
      </c>
      <c r="N173" s="215">
        <f t="shared" si="41"/>
        <v>40983.24</v>
      </c>
    </row>
    <row r="174" spans="1:14" ht="18" customHeight="1">
      <c r="A174" s="292"/>
      <c r="B174" s="294" t="s">
        <v>723</v>
      </c>
      <c r="C174" s="294" t="s">
        <v>355</v>
      </c>
      <c r="D174" s="219">
        <f>E174+N174</f>
        <v>0</v>
      </c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</row>
    <row r="175" spans="1:14" ht="18" customHeight="1">
      <c r="A175" s="292"/>
      <c r="B175" s="295"/>
      <c r="C175" s="295"/>
      <c r="D175" s="219">
        <f>E175+N175</f>
        <v>50000</v>
      </c>
      <c r="E175" s="219"/>
      <c r="F175" s="219"/>
      <c r="G175" s="219"/>
      <c r="H175" s="219"/>
      <c r="I175" s="219"/>
      <c r="J175" s="219"/>
      <c r="K175" s="219"/>
      <c r="L175" s="219"/>
      <c r="M175" s="219"/>
      <c r="N175" s="219">
        <v>50000</v>
      </c>
    </row>
    <row r="176" spans="1:14" ht="18" customHeight="1">
      <c r="A176" s="293"/>
      <c r="B176" s="287"/>
      <c r="C176" s="287"/>
      <c r="D176" s="219">
        <f>E176+N176</f>
        <v>40983.24</v>
      </c>
      <c r="E176" s="219"/>
      <c r="F176" s="219"/>
      <c r="G176" s="219"/>
      <c r="H176" s="219"/>
      <c r="I176" s="219"/>
      <c r="J176" s="219"/>
      <c r="K176" s="219"/>
      <c r="L176" s="219"/>
      <c r="M176" s="219"/>
      <c r="N176" s="219">
        <v>40983.24</v>
      </c>
    </row>
    <row r="177" spans="1:14" s="216" customFormat="1" ht="18" customHeight="1">
      <c r="A177" s="291" t="s">
        <v>306</v>
      </c>
      <c r="B177" s="296"/>
      <c r="C177" s="296" t="s">
        <v>307</v>
      </c>
      <c r="D177" s="215">
        <f>D180+D183+D186</f>
        <v>334000</v>
      </c>
      <c r="E177" s="215">
        <f aca="true" t="shared" si="42" ref="E177:N177">E180+E183+E186</f>
        <v>334000</v>
      </c>
      <c r="F177" s="215">
        <f t="shared" si="42"/>
        <v>333000</v>
      </c>
      <c r="G177" s="215">
        <f t="shared" si="42"/>
        <v>8656</v>
      </c>
      <c r="H177" s="215">
        <f t="shared" si="42"/>
        <v>324344</v>
      </c>
      <c r="I177" s="215">
        <f t="shared" si="42"/>
        <v>1000</v>
      </c>
      <c r="J177" s="215">
        <f t="shared" si="42"/>
        <v>0</v>
      </c>
      <c r="K177" s="215">
        <f t="shared" si="42"/>
        <v>0</v>
      </c>
      <c r="L177" s="215">
        <f t="shared" si="42"/>
        <v>0</v>
      </c>
      <c r="M177" s="215">
        <f t="shared" si="42"/>
        <v>0</v>
      </c>
      <c r="N177" s="215">
        <f t="shared" si="42"/>
        <v>0</v>
      </c>
    </row>
    <row r="178" spans="1:14" s="216" customFormat="1" ht="18" customHeight="1">
      <c r="A178" s="292"/>
      <c r="B178" s="297"/>
      <c r="C178" s="297"/>
      <c r="D178" s="215">
        <f aca="true" t="shared" si="43" ref="D178:N179">D181+D184+D187</f>
        <v>403583.4</v>
      </c>
      <c r="E178" s="215">
        <f t="shared" si="43"/>
        <v>238583.4</v>
      </c>
      <c r="F178" s="215">
        <f t="shared" si="43"/>
        <v>238583.4</v>
      </c>
      <c r="G178" s="215">
        <f t="shared" si="43"/>
        <v>8656</v>
      </c>
      <c r="H178" s="215">
        <f t="shared" si="43"/>
        <v>229927.4</v>
      </c>
      <c r="I178" s="215">
        <f t="shared" si="43"/>
        <v>0</v>
      </c>
      <c r="J178" s="215">
        <f t="shared" si="43"/>
        <v>0</v>
      </c>
      <c r="K178" s="215">
        <f t="shared" si="43"/>
        <v>0</v>
      </c>
      <c r="L178" s="215">
        <f t="shared" si="43"/>
        <v>0</v>
      </c>
      <c r="M178" s="215">
        <f t="shared" si="43"/>
        <v>0</v>
      </c>
      <c r="N178" s="215">
        <f t="shared" si="43"/>
        <v>165000</v>
      </c>
    </row>
    <row r="179" spans="1:14" s="216" customFormat="1" ht="18" customHeight="1">
      <c r="A179" s="292"/>
      <c r="B179" s="298"/>
      <c r="C179" s="298"/>
      <c r="D179" s="215">
        <f t="shared" si="43"/>
        <v>269027.71</v>
      </c>
      <c r="E179" s="215">
        <f t="shared" si="43"/>
        <v>143200.94</v>
      </c>
      <c r="F179" s="215">
        <f t="shared" si="43"/>
        <v>143200.94</v>
      </c>
      <c r="G179" s="215">
        <f t="shared" si="43"/>
        <v>7578.410000000001</v>
      </c>
      <c r="H179" s="215">
        <f t="shared" si="43"/>
        <v>135622.22999999998</v>
      </c>
      <c r="I179" s="215">
        <f t="shared" si="43"/>
        <v>0</v>
      </c>
      <c r="J179" s="215">
        <f t="shared" si="43"/>
        <v>0</v>
      </c>
      <c r="K179" s="215">
        <f t="shared" si="43"/>
        <v>0</v>
      </c>
      <c r="L179" s="215">
        <f t="shared" si="43"/>
        <v>0</v>
      </c>
      <c r="M179" s="215">
        <f t="shared" si="43"/>
        <v>0</v>
      </c>
      <c r="N179" s="215">
        <f t="shared" si="43"/>
        <v>125826.77</v>
      </c>
    </row>
    <row r="180" spans="1:14" ht="18" customHeight="1">
      <c r="A180" s="292"/>
      <c r="B180" s="294" t="s">
        <v>470</v>
      </c>
      <c r="C180" s="294" t="s">
        <v>471</v>
      </c>
      <c r="D180" s="219">
        <f aca="true" t="shared" si="44" ref="D180:D188">E180+N180</f>
        <v>270000</v>
      </c>
      <c r="E180" s="219" t="s">
        <v>472</v>
      </c>
      <c r="F180" s="219" t="s">
        <v>472</v>
      </c>
      <c r="G180" s="219"/>
      <c r="H180" s="219" t="s">
        <v>472</v>
      </c>
      <c r="I180" s="219"/>
      <c r="J180" s="219"/>
      <c r="K180" s="219"/>
      <c r="L180" s="219"/>
      <c r="M180" s="219"/>
      <c r="N180" s="219"/>
    </row>
    <row r="181" spans="1:14" ht="18" customHeight="1">
      <c r="A181" s="292"/>
      <c r="B181" s="295"/>
      <c r="C181" s="295"/>
      <c r="D181" s="219">
        <f t="shared" si="44"/>
        <v>319697.28</v>
      </c>
      <c r="E181" s="219">
        <v>154697.28</v>
      </c>
      <c r="F181" s="219">
        <v>154697.28</v>
      </c>
      <c r="G181" s="219"/>
      <c r="H181" s="219">
        <v>154697.28</v>
      </c>
      <c r="I181" s="219"/>
      <c r="J181" s="219"/>
      <c r="K181" s="219"/>
      <c r="L181" s="219"/>
      <c r="M181" s="219"/>
      <c r="N181" s="219">
        <v>165000</v>
      </c>
    </row>
    <row r="182" spans="1:14" ht="18" customHeight="1">
      <c r="A182" s="292"/>
      <c r="B182" s="287"/>
      <c r="C182" s="287"/>
      <c r="D182" s="219">
        <f t="shared" si="44"/>
        <v>211292.92</v>
      </c>
      <c r="E182" s="219">
        <f>211292.92-125826.77</f>
        <v>85466.15000000001</v>
      </c>
      <c r="F182" s="219">
        <f>E182</f>
        <v>85466.15000000001</v>
      </c>
      <c r="G182" s="219"/>
      <c r="H182" s="219">
        <v>85466.15</v>
      </c>
      <c r="I182" s="219"/>
      <c r="J182" s="219"/>
      <c r="K182" s="219"/>
      <c r="L182" s="219"/>
      <c r="M182" s="219"/>
      <c r="N182" s="219">
        <v>125826.77</v>
      </c>
    </row>
    <row r="183" spans="1:14" ht="18" customHeight="1">
      <c r="A183" s="292"/>
      <c r="B183" s="294" t="s">
        <v>473</v>
      </c>
      <c r="C183" s="294" t="s">
        <v>474</v>
      </c>
      <c r="D183" s="219">
        <f t="shared" si="44"/>
        <v>4000</v>
      </c>
      <c r="E183" s="219" t="s">
        <v>475</v>
      </c>
      <c r="F183" s="219" t="s">
        <v>475</v>
      </c>
      <c r="G183" s="219"/>
      <c r="H183" s="219" t="s">
        <v>475</v>
      </c>
      <c r="I183" s="219"/>
      <c r="J183" s="219"/>
      <c r="K183" s="219"/>
      <c r="L183" s="219"/>
      <c r="M183" s="219"/>
      <c r="N183" s="219"/>
    </row>
    <row r="184" spans="1:14" ht="18" customHeight="1">
      <c r="A184" s="292"/>
      <c r="B184" s="295"/>
      <c r="C184" s="295"/>
      <c r="D184" s="219">
        <f t="shared" si="44"/>
        <v>7740</v>
      </c>
      <c r="E184" s="219">
        <v>7740</v>
      </c>
      <c r="F184" s="219">
        <v>7740</v>
      </c>
      <c r="G184" s="219"/>
      <c r="H184" s="219">
        <v>7740</v>
      </c>
      <c r="I184" s="219"/>
      <c r="J184" s="219"/>
      <c r="K184" s="219"/>
      <c r="L184" s="219"/>
      <c r="M184" s="219"/>
      <c r="N184" s="219"/>
    </row>
    <row r="185" spans="1:14" ht="18" customHeight="1">
      <c r="A185" s="292"/>
      <c r="B185" s="287"/>
      <c r="C185" s="287"/>
      <c r="D185" s="219">
        <f t="shared" si="44"/>
        <v>5043.49</v>
      </c>
      <c r="E185" s="219">
        <v>5043.49</v>
      </c>
      <c r="F185" s="219">
        <v>5043.49</v>
      </c>
      <c r="G185" s="219"/>
      <c r="H185" s="219">
        <v>5043.19</v>
      </c>
      <c r="I185" s="219"/>
      <c r="J185" s="219"/>
      <c r="K185" s="219"/>
      <c r="L185" s="219"/>
      <c r="M185" s="219"/>
      <c r="N185" s="219"/>
    </row>
    <row r="186" spans="1:14" ht="18" customHeight="1">
      <c r="A186" s="292"/>
      <c r="B186" s="294" t="s">
        <v>183</v>
      </c>
      <c r="C186" s="294" t="s">
        <v>476</v>
      </c>
      <c r="D186" s="219">
        <f t="shared" si="44"/>
        <v>60000</v>
      </c>
      <c r="E186" s="219" t="s">
        <v>477</v>
      </c>
      <c r="F186" s="219" t="s">
        <v>478</v>
      </c>
      <c r="G186" s="219" t="s">
        <v>469</v>
      </c>
      <c r="H186" s="219" t="s">
        <v>479</v>
      </c>
      <c r="I186" s="219" t="s">
        <v>467</v>
      </c>
      <c r="J186" s="219"/>
      <c r="K186" s="219"/>
      <c r="L186" s="219"/>
      <c r="M186" s="219"/>
      <c r="N186" s="219"/>
    </row>
    <row r="187" spans="1:14" ht="18" customHeight="1">
      <c r="A187" s="292"/>
      <c r="B187" s="295"/>
      <c r="C187" s="295"/>
      <c r="D187" s="219">
        <f t="shared" si="44"/>
        <v>76146.12</v>
      </c>
      <c r="E187" s="219">
        <v>76146.12</v>
      </c>
      <c r="F187" s="219">
        <v>76146.12</v>
      </c>
      <c r="G187" s="219">
        <v>8656</v>
      </c>
      <c r="H187" s="219">
        <v>67490.12</v>
      </c>
      <c r="I187" s="219"/>
      <c r="J187" s="219"/>
      <c r="K187" s="219"/>
      <c r="L187" s="219"/>
      <c r="M187" s="219"/>
      <c r="N187" s="219"/>
    </row>
    <row r="188" spans="1:14" ht="18" customHeight="1">
      <c r="A188" s="293"/>
      <c r="B188" s="287"/>
      <c r="C188" s="287"/>
      <c r="D188" s="219">
        <f t="shared" si="44"/>
        <v>52691.3</v>
      </c>
      <c r="E188" s="219">
        <v>52691.3</v>
      </c>
      <c r="F188" s="219">
        <v>52691.3</v>
      </c>
      <c r="G188" s="219">
        <f>408.4+60.24+7109.77</f>
        <v>7578.410000000001</v>
      </c>
      <c r="H188" s="219">
        <f>F188-G188</f>
        <v>45112.89</v>
      </c>
      <c r="I188" s="219"/>
      <c r="J188" s="219"/>
      <c r="K188" s="219"/>
      <c r="L188" s="219"/>
      <c r="M188" s="219"/>
      <c r="N188" s="219"/>
    </row>
    <row r="189" spans="1:14" s="216" customFormat="1" ht="18" customHeight="1">
      <c r="A189" s="291" t="s">
        <v>75</v>
      </c>
      <c r="B189" s="296"/>
      <c r="C189" s="296" t="s">
        <v>76</v>
      </c>
      <c r="D189" s="215">
        <f>D192+D195+D198+D201+D204+D207+D210+D213+D216</f>
        <v>2647250</v>
      </c>
      <c r="E189" s="215">
        <f aca="true" t="shared" si="45" ref="E189:N189">E192+E195+E198+E201+E204+E207+E210+E213+E216</f>
        <v>2647250</v>
      </c>
      <c r="F189" s="215">
        <f t="shared" si="45"/>
        <v>501820</v>
      </c>
      <c r="G189" s="215">
        <f t="shared" si="45"/>
        <v>422709</v>
      </c>
      <c r="H189" s="215">
        <f t="shared" si="45"/>
        <v>79111</v>
      </c>
      <c r="I189" s="215">
        <f t="shared" si="45"/>
        <v>2000</v>
      </c>
      <c r="J189" s="215">
        <f t="shared" si="45"/>
        <v>2143430</v>
      </c>
      <c r="K189" s="215">
        <f t="shared" si="45"/>
        <v>0</v>
      </c>
      <c r="L189" s="215">
        <f t="shared" si="45"/>
        <v>0</v>
      </c>
      <c r="M189" s="215">
        <f t="shared" si="45"/>
        <v>0</v>
      </c>
      <c r="N189" s="215">
        <f t="shared" si="45"/>
        <v>0</v>
      </c>
    </row>
    <row r="190" spans="1:14" s="216" customFormat="1" ht="18" customHeight="1">
      <c r="A190" s="292"/>
      <c r="B190" s="297"/>
      <c r="C190" s="297"/>
      <c r="D190" s="215">
        <f aca="true" t="shared" si="46" ref="D190:N191">D193+D196+D199+D202+D205+D208+D211+D214+D217</f>
        <v>3014426</v>
      </c>
      <c r="E190" s="215">
        <f t="shared" si="46"/>
        <v>3014426</v>
      </c>
      <c r="F190" s="215">
        <f t="shared" si="46"/>
        <v>700897.16</v>
      </c>
      <c r="G190" s="215">
        <f t="shared" si="46"/>
        <v>459072.87</v>
      </c>
      <c r="H190" s="215">
        <f>H193+H196+H199+H202+H205+H208+H211+H214+H217</f>
        <v>241824.29</v>
      </c>
      <c r="I190" s="215">
        <f t="shared" si="46"/>
        <v>3750</v>
      </c>
      <c r="J190" s="215">
        <f t="shared" si="46"/>
        <v>2309778.84</v>
      </c>
      <c r="K190" s="215">
        <f t="shared" si="46"/>
        <v>0</v>
      </c>
      <c r="L190" s="215">
        <f t="shared" si="46"/>
        <v>0</v>
      </c>
      <c r="M190" s="215">
        <f t="shared" si="46"/>
        <v>0</v>
      </c>
      <c r="N190" s="215">
        <f t="shared" si="46"/>
        <v>0</v>
      </c>
    </row>
    <row r="191" spans="1:14" s="216" customFormat="1" ht="18" customHeight="1">
      <c r="A191" s="292"/>
      <c r="B191" s="298"/>
      <c r="C191" s="298"/>
      <c r="D191" s="215">
        <f t="shared" si="46"/>
        <v>2913963.64</v>
      </c>
      <c r="E191" s="215">
        <f t="shared" si="46"/>
        <v>2913963.64</v>
      </c>
      <c r="F191" s="215">
        <f t="shared" si="46"/>
        <v>632920.6500000001</v>
      </c>
      <c r="G191" s="215">
        <f t="shared" si="46"/>
        <v>430071.80999999994</v>
      </c>
      <c r="H191" s="215">
        <f t="shared" si="46"/>
        <v>202848.84000000014</v>
      </c>
      <c r="I191" s="215">
        <f t="shared" si="46"/>
        <v>3750</v>
      </c>
      <c r="J191" s="215">
        <f t="shared" si="46"/>
        <v>2277292.9899999998</v>
      </c>
      <c r="K191" s="215">
        <f t="shared" si="46"/>
        <v>0</v>
      </c>
      <c r="L191" s="215">
        <f t="shared" si="46"/>
        <v>0</v>
      </c>
      <c r="M191" s="215">
        <f t="shared" si="46"/>
        <v>0</v>
      </c>
      <c r="N191" s="215">
        <f t="shared" si="46"/>
        <v>0</v>
      </c>
    </row>
    <row r="192" spans="1:14" ht="18" customHeight="1">
      <c r="A192" s="292"/>
      <c r="B192" s="294" t="s">
        <v>185</v>
      </c>
      <c r="C192" s="294" t="s">
        <v>480</v>
      </c>
      <c r="D192" s="219">
        <f aca="true" t="shared" si="47" ref="D192:D218">E192+N192</f>
        <v>30000</v>
      </c>
      <c r="E192" s="219" t="s">
        <v>377</v>
      </c>
      <c r="F192" s="219" t="s">
        <v>481</v>
      </c>
      <c r="G192" s="219" t="s">
        <v>67</v>
      </c>
      <c r="H192" s="219" t="s">
        <v>481</v>
      </c>
      <c r="I192" s="219" t="s">
        <v>382</v>
      </c>
      <c r="J192" s="219" t="s">
        <v>67</v>
      </c>
      <c r="K192" s="219"/>
      <c r="L192" s="219"/>
      <c r="M192" s="219"/>
      <c r="N192" s="219"/>
    </row>
    <row r="193" spans="1:14" ht="18" customHeight="1">
      <c r="A193" s="292"/>
      <c r="B193" s="295"/>
      <c r="C193" s="295"/>
      <c r="D193" s="219">
        <f t="shared" si="47"/>
        <v>60000</v>
      </c>
      <c r="E193" s="219">
        <v>60000</v>
      </c>
      <c r="F193" s="219">
        <v>56250</v>
      </c>
      <c r="G193" s="219"/>
      <c r="H193" s="219">
        <v>56250</v>
      </c>
      <c r="I193" s="219">
        <v>3750</v>
      </c>
      <c r="J193" s="219"/>
      <c r="K193" s="219"/>
      <c r="L193" s="219"/>
      <c r="M193" s="219"/>
      <c r="N193" s="219"/>
    </row>
    <row r="194" spans="1:14" ht="18" customHeight="1">
      <c r="A194" s="292"/>
      <c r="B194" s="287"/>
      <c r="C194" s="287"/>
      <c r="D194" s="219">
        <f t="shared" si="47"/>
        <v>34690.92</v>
      </c>
      <c r="E194" s="219">
        <v>34690.92</v>
      </c>
      <c r="F194" s="219">
        <v>30940.92</v>
      </c>
      <c r="G194" s="219"/>
      <c r="H194" s="219">
        <v>30940.92</v>
      </c>
      <c r="I194" s="219">
        <v>3750</v>
      </c>
      <c r="J194" s="219"/>
      <c r="K194" s="219"/>
      <c r="L194" s="219"/>
      <c r="M194" s="219"/>
      <c r="N194" s="219"/>
    </row>
    <row r="195" spans="1:14" ht="18.75" customHeight="1">
      <c r="A195" s="292"/>
      <c r="B195" s="294" t="s">
        <v>77</v>
      </c>
      <c r="C195" s="294" t="s">
        <v>78</v>
      </c>
      <c r="D195" s="219">
        <f t="shared" si="47"/>
        <v>1769000</v>
      </c>
      <c r="E195" s="219" t="s">
        <v>79</v>
      </c>
      <c r="F195" s="219" t="s">
        <v>482</v>
      </c>
      <c r="G195" s="219" t="s">
        <v>483</v>
      </c>
      <c r="H195" s="219" t="s">
        <v>484</v>
      </c>
      <c r="I195" s="219"/>
      <c r="J195" s="219" t="s">
        <v>485</v>
      </c>
      <c r="K195" s="219"/>
      <c r="L195" s="219"/>
      <c r="M195" s="219"/>
      <c r="N195" s="219"/>
    </row>
    <row r="196" spans="1:14" ht="18.75" customHeight="1">
      <c r="A196" s="292"/>
      <c r="B196" s="295"/>
      <c r="C196" s="295"/>
      <c r="D196" s="219">
        <f t="shared" si="47"/>
        <v>1954000</v>
      </c>
      <c r="E196" s="219">
        <v>1954000</v>
      </c>
      <c r="F196" s="219">
        <v>104620</v>
      </c>
      <c r="G196" s="219">
        <v>89926.87</v>
      </c>
      <c r="H196" s="219">
        <v>14693.13</v>
      </c>
      <c r="I196" s="219"/>
      <c r="J196" s="219">
        <v>1849380</v>
      </c>
      <c r="K196" s="219"/>
      <c r="L196" s="219"/>
      <c r="M196" s="219"/>
      <c r="N196" s="219"/>
    </row>
    <row r="197" spans="1:14" ht="18.75" customHeight="1">
      <c r="A197" s="292"/>
      <c r="B197" s="287"/>
      <c r="C197" s="287"/>
      <c r="D197" s="219">
        <f t="shared" si="47"/>
        <v>1935295.37</v>
      </c>
      <c r="E197" s="219">
        <v>1935295.37</v>
      </c>
      <c r="F197" s="219">
        <f>E197-J197</f>
        <v>102913.14000000013</v>
      </c>
      <c r="G197" s="219">
        <f>35078.93+2400.52+49881.17+859.39</f>
        <v>88220.01</v>
      </c>
      <c r="H197" s="219">
        <f>F197-G197</f>
        <v>14693.130000000136</v>
      </c>
      <c r="I197" s="219"/>
      <c r="J197" s="219">
        <v>1832382.23</v>
      </c>
      <c r="K197" s="219"/>
      <c r="L197" s="219"/>
      <c r="M197" s="219"/>
      <c r="N197" s="219"/>
    </row>
    <row r="198" spans="1:14" ht="18.75" customHeight="1">
      <c r="A198" s="292"/>
      <c r="B198" s="294" t="s">
        <v>80</v>
      </c>
      <c r="C198" s="301" t="s">
        <v>81</v>
      </c>
      <c r="D198" s="219">
        <f t="shared" si="47"/>
        <v>28000</v>
      </c>
      <c r="E198" s="219" t="s">
        <v>481</v>
      </c>
      <c r="F198" s="219" t="s">
        <v>481</v>
      </c>
      <c r="G198" s="219" t="s">
        <v>481</v>
      </c>
      <c r="H198" s="219"/>
      <c r="I198" s="219"/>
      <c r="J198" s="219"/>
      <c r="K198" s="219"/>
      <c r="L198" s="219"/>
      <c r="M198" s="219"/>
      <c r="N198" s="219"/>
    </row>
    <row r="199" spans="1:14" ht="18.75" customHeight="1">
      <c r="A199" s="292"/>
      <c r="B199" s="295"/>
      <c r="C199" s="302"/>
      <c r="D199" s="219">
        <f t="shared" si="47"/>
        <v>34956</v>
      </c>
      <c r="E199" s="219">
        <v>34956</v>
      </c>
      <c r="F199" s="219">
        <v>34956</v>
      </c>
      <c r="G199" s="219">
        <v>34956</v>
      </c>
      <c r="H199" s="219"/>
      <c r="I199" s="219"/>
      <c r="J199" s="219"/>
      <c r="K199" s="219"/>
      <c r="L199" s="219"/>
      <c r="M199" s="219"/>
      <c r="N199" s="219"/>
    </row>
    <row r="200" spans="1:14" ht="18.75" customHeight="1">
      <c r="A200" s="292"/>
      <c r="B200" s="287"/>
      <c r="C200" s="303"/>
      <c r="D200" s="219">
        <f t="shared" si="47"/>
        <v>33030.88</v>
      </c>
      <c r="E200" s="219">
        <v>33030.88</v>
      </c>
      <c r="F200" s="219">
        <f>E200</f>
        <v>33030.88</v>
      </c>
      <c r="G200" s="219">
        <f>F200</f>
        <v>33030.88</v>
      </c>
      <c r="H200" s="219"/>
      <c r="I200" s="219"/>
      <c r="J200" s="219"/>
      <c r="K200" s="219"/>
      <c r="L200" s="219"/>
      <c r="M200" s="219"/>
      <c r="N200" s="219"/>
    </row>
    <row r="201" spans="1:14" ht="18" customHeight="1">
      <c r="A201" s="292"/>
      <c r="B201" s="294" t="s">
        <v>486</v>
      </c>
      <c r="C201" s="294" t="s">
        <v>487</v>
      </c>
      <c r="D201" s="219">
        <f t="shared" si="47"/>
        <v>153000</v>
      </c>
      <c r="E201" s="219" t="s">
        <v>488</v>
      </c>
      <c r="F201" s="219"/>
      <c r="G201" s="219"/>
      <c r="H201" s="219"/>
      <c r="I201" s="219"/>
      <c r="J201" s="219" t="s">
        <v>488</v>
      </c>
      <c r="K201" s="219"/>
      <c r="L201" s="219"/>
      <c r="M201" s="219"/>
      <c r="N201" s="219"/>
    </row>
    <row r="202" spans="1:14" ht="18" customHeight="1">
      <c r="A202" s="292"/>
      <c r="B202" s="295"/>
      <c r="C202" s="295"/>
      <c r="D202" s="219">
        <f t="shared" si="47"/>
        <v>132726</v>
      </c>
      <c r="E202" s="219">
        <v>132726</v>
      </c>
      <c r="F202" s="219"/>
      <c r="G202" s="219"/>
      <c r="H202" s="219"/>
      <c r="I202" s="219"/>
      <c r="J202" s="219">
        <v>132726</v>
      </c>
      <c r="K202" s="219"/>
      <c r="L202" s="219"/>
      <c r="M202" s="219"/>
      <c r="N202" s="219"/>
    </row>
    <row r="203" spans="1:14" ht="18" customHeight="1">
      <c r="A203" s="292"/>
      <c r="B203" s="287"/>
      <c r="C203" s="287"/>
      <c r="D203" s="219">
        <f t="shared" si="47"/>
        <v>132633.23</v>
      </c>
      <c r="E203" s="219">
        <v>132633.23</v>
      </c>
      <c r="F203" s="219"/>
      <c r="G203" s="219"/>
      <c r="H203" s="219"/>
      <c r="I203" s="219"/>
      <c r="J203" s="219">
        <f>E203</f>
        <v>132633.23</v>
      </c>
      <c r="K203" s="219"/>
      <c r="L203" s="219"/>
      <c r="M203" s="219"/>
      <c r="N203" s="219"/>
    </row>
    <row r="204" spans="1:14" ht="16.5" customHeight="1">
      <c r="A204" s="292"/>
      <c r="B204" s="294" t="s">
        <v>489</v>
      </c>
      <c r="C204" s="294" t="s">
        <v>490</v>
      </c>
      <c r="D204" s="219">
        <f t="shared" si="47"/>
        <v>50000</v>
      </c>
      <c r="E204" s="219" t="s">
        <v>398</v>
      </c>
      <c r="F204" s="219"/>
      <c r="G204" s="219"/>
      <c r="H204" s="219"/>
      <c r="I204" s="219"/>
      <c r="J204" s="219" t="s">
        <v>398</v>
      </c>
      <c r="K204" s="219"/>
      <c r="L204" s="219"/>
      <c r="M204" s="219"/>
      <c r="N204" s="219"/>
    </row>
    <row r="205" spans="1:14" ht="16.5" customHeight="1">
      <c r="A205" s="292"/>
      <c r="B205" s="295"/>
      <c r="C205" s="295"/>
      <c r="D205" s="219">
        <f t="shared" si="47"/>
        <v>47000</v>
      </c>
      <c r="E205" s="219">
        <v>47000</v>
      </c>
      <c r="F205" s="219"/>
      <c r="G205" s="219"/>
      <c r="H205" s="219"/>
      <c r="I205" s="219"/>
      <c r="J205" s="219">
        <v>47000</v>
      </c>
      <c r="K205" s="219"/>
      <c r="L205" s="219"/>
      <c r="M205" s="219"/>
      <c r="N205" s="219"/>
    </row>
    <row r="206" spans="1:14" ht="16.5" customHeight="1">
      <c r="A206" s="292"/>
      <c r="B206" s="287"/>
      <c r="C206" s="287"/>
      <c r="D206" s="219">
        <f t="shared" si="47"/>
        <v>36922.02</v>
      </c>
      <c r="E206" s="219">
        <v>36922.02</v>
      </c>
      <c r="F206" s="219"/>
      <c r="G206" s="219"/>
      <c r="H206" s="219"/>
      <c r="I206" s="219"/>
      <c r="J206" s="219">
        <f>E206</f>
        <v>36922.02</v>
      </c>
      <c r="K206" s="219"/>
      <c r="L206" s="219"/>
      <c r="M206" s="219"/>
      <c r="N206" s="219"/>
    </row>
    <row r="207" spans="1:14" ht="16.5" customHeight="1">
      <c r="A207" s="292"/>
      <c r="B207" s="294" t="s">
        <v>491</v>
      </c>
      <c r="C207" s="294" t="s">
        <v>492</v>
      </c>
      <c r="D207" s="219">
        <f t="shared" si="47"/>
        <v>216000</v>
      </c>
      <c r="E207" s="219" t="s">
        <v>493</v>
      </c>
      <c r="F207" s="219"/>
      <c r="G207" s="219"/>
      <c r="H207" s="219"/>
      <c r="I207" s="219"/>
      <c r="J207" s="219" t="s">
        <v>493</v>
      </c>
      <c r="K207" s="219"/>
      <c r="L207" s="219"/>
      <c r="M207" s="219"/>
      <c r="N207" s="219"/>
    </row>
    <row r="208" spans="1:14" ht="16.5" customHeight="1">
      <c r="A208" s="292"/>
      <c r="B208" s="295"/>
      <c r="C208" s="295"/>
      <c r="D208" s="219">
        <f t="shared" si="47"/>
        <v>237964</v>
      </c>
      <c r="E208" s="219">
        <v>237964</v>
      </c>
      <c r="F208" s="219"/>
      <c r="G208" s="219"/>
      <c r="H208" s="219"/>
      <c r="I208" s="219"/>
      <c r="J208" s="219">
        <v>237964</v>
      </c>
      <c r="K208" s="219"/>
      <c r="L208" s="219"/>
      <c r="M208" s="219"/>
      <c r="N208" s="219"/>
    </row>
    <row r="209" spans="1:14" ht="18" customHeight="1">
      <c r="A209" s="292"/>
      <c r="B209" s="287"/>
      <c r="C209" s="287"/>
      <c r="D209" s="219">
        <f t="shared" si="47"/>
        <v>234780.27</v>
      </c>
      <c r="E209" s="219">
        <v>234780.27</v>
      </c>
      <c r="F209" s="219"/>
      <c r="G209" s="219"/>
      <c r="H209" s="219"/>
      <c r="I209" s="219"/>
      <c r="J209" s="219">
        <f>E209</f>
        <v>234780.27</v>
      </c>
      <c r="K209" s="219"/>
      <c r="L209" s="219"/>
      <c r="M209" s="219"/>
      <c r="N209" s="219"/>
    </row>
    <row r="210" spans="1:14" ht="18" customHeight="1">
      <c r="A210" s="292" t="s">
        <v>75</v>
      </c>
      <c r="B210" s="294" t="s">
        <v>494</v>
      </c>
      <c r="C210" s="294" t="s">
        <v>495</v>
      </c>
      <c r="D210" s="219">
        <f t="shared" si="47"/>
        <v>254870</v>
      </c>
      <c r="E210" s="219" t="s">
        <v>496</v>
      </c>
      <c r="F210" s="219" t="s">
        <v>497</v>
      </c>
      <c r="G210" s="219" t="s">
        <v>498</v>
      </c>
      <c r="H210" s="219" t="s">
        <v>499</v>
      </c>
      <c r="I210" s="219"/>
      <c r="J210" s="219" t="s">
        <v>382</v>
      </c>
      <c r="K210" s="219"/>
      <c r="L210" s="219"/>
      <c r="M210" s="219"/>
      <c r="N210" s="219"/>
    </row>
    <row r="211" spans="1:14" ht="18" customHeight="1">
      <c r="A211" s="292"/>
      <c r="B211" s="295"/>
      <c r="C211" s="295"/>
      <c r="D211" s="219">
        <f t="shared" si="47"/>
        <v>268799</v>
      </c>
      <c r="E211" s="219">
        <v>268799</v>
      </c>
      <c r="F211" s="219">
        <v>266799</v>
      </c>
      <c r="G211" s="219">
        <v>226619</v>
      </c>
      <c r="H211" s="219">
        <v>40180</v>
      </c>
      <c r="I211" s="219"/>
      <c r="J211" s="219">
        <v>2000</v>
      </c>
      <c r="K211" s="219"/>
      <c r="L211" s="219"/>
      <c r="M211" s="219"/>
      <c r="N211" s="219"/>
    </row>
    <row r="212" spans="1:14" ht="18" customHeight="1">
      <c r="A212" s="292"/>
      <c r="B212" s="287"/>
      <c r="C212" s="287"/>
      <c r="D212" s="219">
        <f t="shared" si="47"/>
        <v>244125.66</v>
      </c>
      <c r="E212" s="219">
        <v>244125.66</v>
      </c>
      <c r="F212" s="219">
        <f>E212-J212</f>
        <v>243732.06</v>
      </c>
      <c r="G212" s="219">
        <f>173397.4+10518.58+28818.73+4432.21</f>
        <v>217166.91999999998</v>
      </c>
      <c r="H212" s="219">
        <f>F212-G212</f>
        <v>26565.140000000014</v>
      </c>
      <c r="I212" s="219"/>
      <c r="J212" s="219">
        <v>393.6</v>
      </c>
      <c r="K212" s="219"/>
      <c r="L212" s="219"/>
      <c r="M212" s="219"/>
      <c r="N212" s="219"/>
    </row>
    <row r="213" spans="1:14" ht="18" customHeight="1">
      <c r="A213" s="292"/>
      <c r="B213" s="294" t="s">
        <v>500</v>
      </c>
      <c r="C213" s="294" t="s">
        <v>501</v>
      </c>
      <c r="D213" s="219">
        <f t="shared" si="47"/>
        <v>106380</v>
      </c>
      <c r="E213" s="219" t="s">
        <v>502</v>
      </c>
      <c r="F213" s="219" t="s">
        <v>503</v>
      </c>
      <c r="G213" s="219" t="s">
        <v>504</v>
      </c>
      <c r="H213" s="219" t="s">
        <v>505</v>
      </c>
      <c r="I213" s="219"/>
      <c r="J213" s="219" t="s">
        <v>506</v>
      </c>
      <c r="K213" s="219"/>
      <c r="L213" s="219"/>
      <c r="M213" s="219"/>
      <c r="N213" s="219"/>
    </row>
    <row r="214" spans="1:14" ht="18" customHeight="1">
      <c r="A214" s="292"/>
      <c r="B214" s="295"/>
      <c r="C214" s="295"/>
      <c r="D214" s="219">
        <f t="shared" si="47"/>
        <v>114551</v>
      </c>
      <c r="E214" s="219">
        <v>114551</v>
      </c>
      <c r="F214" s="219">
        <v>113051</v>
      </c>
      <c r="G214" s="219">
        <v>107571</v>
      </c>
      <c r="H214" s="219">
        <v>5480</v>
      </c>
      <c r="I214" s="219"/>
      <c r="J214" s="219">
        <v>1500</v>
      </c>
      <c r="K214" s="219"/>
      <c r="L214" s="219"/>
      <c r="M214" s="219"/>
      <c r="N214" s="219"/>
    </row>
    <row r="215" spans="1:14" ht="18" customHeight="1">
      <c r="A215" s="292"/>
      <c r="B215" s="287"/>
      <c r="C215" s="287"/>
      <c r="D215" s="219">
        <f t="shared" si="47"/>
        <v>98055.29</v>
      </c>
      <c r="E215" s="219">
        <v>98055.29</v>
      </c>
      <c r="F215" s="219">
        <f>E215-J215</f>
        <v>97082.48999999999</v>
      </c>
      <c r="G215" s="219">
        <f>68421.65+4480.25+12036.79+1785.31+4930</f>
        <v>91654</v>
      </c>
      <c r="H215" s="219">
        <f>F215-G215</f>
        <v>5428.489999999991</v>
      </c>
      <c r="I215" s="219"/>
      <c r="J215" s="219">
        <v>972.8</v>
      </c>
      <c r="K215" s="219"/>
      <c r="L215" s="219"/>
      <c r="M215" s="219"/>
      <c r="N215" s="219"/>
    </row>
    <row r="216" spans="1:14" ht="18" customHeight="1">
      <c r="A216" s="292"/>
      <c r="B216" s="294" t="s">
        <v>507</v>
      </c>
      <c r="C216" s="294" t="s">
        <v>355</v>
      </c>
      <c r="D216" s="219">
        <f t="shared" si="47"/>
        <v>40000</v>
      </c>
      <c r="E216" s="219" t="s">
        <v>508</v>
      </c>
      <c r="F216" s="219"/>
      <c r="G216" s="219"/>
      <c r="H216" s="219"/>
      <c r="I216" s="219"/>
      <c r="J216" s="219" t="s">
        <v>508</v>
      </c>
      <c r="K216" s="219"/>
      <c r="L216" s="219"/>
      <c r="M216" s="219"/>
      <c r="N216" s="219"/>
    </row>
    <row r="217" spans="1:14" ht="18" customHeight="1">
      <c r="A217" s="292"/>
      <c r="B217" s="295"/>
      <c r="C217" s="295"/>
      <c r="D217" s="219">
        <f t="shared" si="47"/>
        <v>164430</v>
      </c>
      <c r="E217" s="219">
        <v>164430</v>
      </c>
      <c r="F217" s="219">
        <v>125221.16</v>
      </c>
      <c r="G217" s="219"/>
      <c r="H217" s="219">
        <v>125221.16</v>
      </c>
      <c r="I217" s="219"/>
      <c r="J217" s="219">
        <v>39208.84</v>
      </c>
      <c r="K217" s="219"/>
      <c r="L217" s="219"/>
      <c r="M217" s="219"/>
      <c r="N217" s="219"/>
    </row>
    <row r="218" spans="1:14" ht="18" customHeight="1">
      <c r="A218" s="293"/>
      <c r="B218" s="287"/>
      <c r="C218" s="287"/>
      <c r="D218" s="219">
        <f t="shared" si="47"/>
        <v>164430</v>
      </c>
      <c r="E218" s="219">
        <v>164430</v>
      </c>
      <c r="F218" s="219">
        <f>E218-J218</f>
        <v>125221.16</v>
      </c>
      <c r="G218" s="219"/>
      <c r="H218" s="219">
        <v>125221.16</v>
      </c>
      <c r="I218" s="219"/>
      <c r="J218" s="219">
        <v>39208.84</v>
      </c>
      <c r="K218" s="219"/>
      <c r="L218" s="219"/>
      <c r="M218" s="219"/>
      <c r="N218" s="219"/>
    </row>
    <row r="219" spans="1:14" s="216" customFormat="1" ht="18" customHeight="1">
      <c r="A219" s="291" t="s">
        <v>310</v>
      </c>
      <c r="B219" s="296"/>
      <c r="C219" s="296" t="s">
        <v>311</v>
      </c>
      <c r="D219" s="215">
        <f>D222</f>
        <v>643440</v>
      </c>
      <c r="E219" s="215" t="str">
        <f aca="true" t="shared" si="48" ref="E219:N219">E222</f>
        <v>499 954,60</v>
      </c>
      <c r="F219" s="215" t="str">
        <f t="shared" si="48"/>
        <v>79 688,68</v>
      </c>
      <c r="G219" s="215">
        <f t="shared" si="48"/>
        <v>0</v>
      </c>
      <c r="H219" s="215" t="str">
        <f t="shared" si="48"/>
        <v>79 688,68</v>
      </c>
      <c r="I219" s="215">
        <f t="shared" si="48"/>
        <v>0</v>
      </c>
      <c r="J219" s="215" t="str">
        <f t="shared" si="48"/>
        <v>7 000,00</v>
      </c>
      <c r="K219" s="215" t="str">
        <f t="shared" si="48"/>
        <v>413 265,92</v>
      </c>
      <c r="L219" s="215">
        <f t="shared" si="48"/>
        <v>0</v>
      </c>
      <c r="M219" s="215">
        <f t="shared" si="48"/>
        <v>0</v>
      </c>
      <c r="N219" s="215" t="str">
        <f t="shared" si="48"/>
        <v>143 485,40</v>
      </c>
    </row>
    <row r="220" spans="1:14" s="216" customFormat="1" ht="18" customHeight="1">
      <c r="A220" s="292"/>
      <c r="B220" s="297"/>
      <c r="C220" s="297"/>
      <c r="D220" s="215">
        <f aca="true" t="shared" si="49" ref="D220:N221">D223</f>
        <v>309072.05</v>
      </c>
      <c r="E220" s="215">
        <f t="shared" si="49"/>
        <v>309072.05</v>
      </c>
      <c r="F220" s="215">
        <f t="shared" si="49"/>
        <v>0</v>
      </c>
      <c r="G220" s="215">
        <f t="shared" si="49"/>
        <v>0</v>
      </c>
      <c r="H220" s="215">
        <f t="shared" si="49"/>
        <v>0</v>
      </c>
      <c r="I220" s="215">
        <f t="shared" si="49"/>
        <v>0</v>
      </c>
      <c r="J220" s="215">
        <f t="shared" si="49"/>
        <v>0</v>
      </c>
      <c r="K220" s="215">
        <f t="shared" si="49"/>
        <v>309072.05</v>
      </c>
      <c r="L220" s="215">
        <f t="shared" si="49"/>
        <v>0</v>
      </c>
      <c r="M220" s="215">
        <f t="shared" si="49"/>
        <v>0</v>
      </c>
      <c r="N220" s="215">
        <f t="shared" si="49"/>
        <v>0</v>
      </c>
    </row>
    <row r="221" spans="1:14" s="216" customFormat="1" ht="18" customHeight="1">
      <c r="A221" s="292"/>
      <c r="B221" s="298"/>
      <c r="C221" s="298"/>
      <c r="D221" s="215">
        <f t="shared" si="49"/>
        <v>308110.99</v>
      </c>
      <c r="E221" s="215">
        <f t="shared" si="49"/>
        <v>308110.99</v>
      </c>
      <c r="F221" s="215">
        <f t="shared" si="49"/>
        <v>0</v>
      </c>
      <c r="G221" s="215">
        <f t="shared" si="49"/>
        <v>0</v>
      </c>
      <c r="H221" s="215">
        <f t="shared" si="49"/>
        <v>0</v>
      </c>
      <c r="I221" s="215">
        <f t="shared" si="49"/>
        <v>0</v>
      </c>
      <c r="J221" s="215">
        <f t="shared" si="49"/>
        <v>0</v>
      </c>
      <c r="K221" s="215">
        <f t="shared" si="49"/>
        <v>308110.99</v>
      </c>
      <c r="L221" s="215">
        <f t="shared" si="49"/>
        <v>0</v>
      </c>
      <c r="M221" s="215">
        <f t="shared" si="49"/>
        <v>0</v>
      </c>
      <c r="N221" s="215">
        <f t="shared" si="49"/>
        <v>0</v>
      </c>
    </row>
    <row r="222" spans="1:14" ht="18" customHeight="1">
      <c r="A222" s="292"/>
      <c r="B222" s="294" t="s">
        <v>511</v>
      </c>
      <c r="C222" s="294" t="s">
        <v>355</v>
      </c>
      <c r="D222" s="219">
        <f>E222+N222</f>
        <v>643440</v>
      </c>
      <c r="E222" s="219" t="s">
        <v>580</v>
      </c>
      <c r="F222" s="219" t="s">
        <v>509</v>
      </c>
      <c r="G222" s="219"/>
      <c r="H222" s="219" t="s">
        <v>509</v>
      </c>
      <c r="I222" s="219"/>
      <c r="J222" s="219" t="s">
        <v>367</v>
      </c>
      <c r="K222" s="219" t="s">
        <v>510</v>
      </c>
      <c r="L222" s="219"/>
      <c r="M222" s="219"/>
      <c r="N222" s="219" t="s">
        <v>581</v>
      </c>
    </row>
    <row r="223" spans="1:14" ht="18" customHeight="1">
      <c r="A223" s="292"/>
      <c r="B223" s="295"/>
      <c r="C223" s="295"/>
      <c r="D223" s="219">
        <f>E223+N223</f>
        <v>309072.05</v>
      </c>
      <c r="E223" s="219">
        <v>309072.05</v>
      </c>
      <c r="F223" s="219"/>
      <c r="G223" s="219"/>
      <c r="H223" s="219"/>
      <c r="I223" s="219"/>
      <c r="J223" s="219"/>
      <c r="K223" s="219">
        <v>309072.05</v>
      </c>
      <c r="L223" s="219"/>
      <c r="M223" s="219"/>
      <c r="N223" s="219"/>
    </row>
    <row r="224" spans="1:14" ht="18" customHeight="1">
      <c r="A224" s="293"/>
      <c r="B224" s="287"/>
      <c r="C224" s="287"/>
      <c r="D224" s="219">
        <f>E224+N224</f>
        <v>308110.99</v>
      </c>
      <c r="E224" s="219">
        <f>K224</f>
        <v>308110.99</v>
      </c>
      <c r="F224" s="219"/>
      <c r="G224" s="219"/>
      <c r="H224" s="219"/>
      <c r="I224" s="219"/>
      <c r="J224" s="219"/>
      <c r="K224" s="219">
        <v>308110.99</v>
      </c>
      <c r="L224" s="219"/>
      <c r="M224" s="219"/>
      <c r="N224" s="219"/>
    </row>
    <row r="225" spans="1:14" s="216" customFormat="1" ht="18" customHeight="1">
      <c r="A225" s="291" t="s">
        <v>512</v>
      </c>
      <c r="B225" s="296"/>
      <c r="C225" s="296" t="s">
        <v>513</v>
      </c>
      <c r="D225" s="215">
        <f>D228+D231+D234</f>
        <v>101618</v>
      </c>
      <c r="E225" s="215">
        <f aca="true" t="shared" si="50" ref="E225:N225">E228+E231+E234</f>
        <v>101618</v>
      </c>
      <c r="F225" s="215">
        <f t="shared" si="50"/>
        <v>95560</v>
      </c>
      <c r="G225" s="215">
        <f t="shared" si="50"/>
        <v>84528</v>
      </c>
      <c r="H225" s="215">
        <f t="shared" si="50"/>
        <v>11032</v>
      </c>
      <c r="I225" s="215">
        <f t="shared" si="50"/>
        <v>0</v>
      </c>
      <c r="J225" s="215">
        <f t="shared" si="50"/>
        <v>6058</v>
      </c>
      <c r="K225" s="215">
        <f t="shared" si="50"/>
        <v>0</v>
      </c>
      <c r="L225" s="215">
        <f t="shared" si="50"/>
        <v>0</v>
      </c>
      <c r="M225" s="215">
        <f t="shared" si="50"/>
        <v>0</v>
      </c>
      <c r="N225" s="215">
        <f t="shared" si="50"/>
        <v>0</v>
      </c>
    </row>
    <row r="226" spans="1:14" s="216" customFormat="1" ht="18" customHeight="1">
      <c r="A226" s="292"/>
      <c r="B226" s="297"/>
      <c r="C226" s="297"/>
      <c r="D226" s="215">
        <f aca="true" t="shared" si="51" ref="D226:N227">D229+D232+D235</f>
        <v>288026</v>
      </c>
      <c r="E226" s="215">
        <f t="shared" si="51"/>
        <v>288026</v>
      </c>
      <c r="F226" s="215">
        <f t="shared" si="51"/>
        <v>161305.66</v>
      </c>
      <c r="G226" s="215">
        <f t="shared" si="51"/>
        <v>84528</v>
      </c>
      <c r="H226" s="215">
        <f t="shared" si="51"/>
        <v>76777.66</v>
      </c>
      <c r="I226" s="215">
        <f t="shared" si="51"/>
        <v>0</v>
      </c>
      <c r="J226" s="215">
        <f t="shared" si="51"/>
        <v>126720.34</v>
      </c>
      <c r="K226" s="215">
        <f t="shared" si="51"/>
        <v>0</v>
      </c>
      <c r="L226" s="215">
        <f t="shared" si="51"/>
        <v>0</v>
      </c>
      <c r="M226" s="215">
        <f t="shared" si="51"/>
        <v>0</v>
      </c>
      <c r="N226" s="215">
        <f t="shared" si="51"/>
        <v>0</v>
      </c>
    </row>
    <row r="227" spans="1:14" s="216" customFormat="1" ht="18" customHeight="1">
      <c r="A227" s="292"/>
      <c r="B227" s="298"/>
      <c r="C227" s="298"/>
      <c r="D227" s="215">
        <f t="shared" si="51"/>
        <v>250981.73000000004</v>
      </c>
      <c r="E227" s="215">
        <f t="shared" si="51"/>
        <v>250981.73000000004</v>
      </c>
      <c r="F227" s="215">
        <f t="shared" si="51"/>
        <v>155029.32</v>
      </c>
      <c r="G227" s="215">
        <f t="shared" si="51"/>
        <v>78272.72000000002</v>
      </c>
      <c r="H227" s="215">
        <f t="shared" si="51"/>
        <v>76756.59999999999</v>
      </c>
      <c r="I227" s="215">
        <f t="shared" si="51"/>
        <v>0</v>
      </c>
      <c r="J227" s="215">
        <f t="shared" si="51"/>
        <v>95952.41</v>
      </c>
      <c r="K227" s="215">
        <f t="shared" si="51"/>
        <v>0</v>
      </c>
      <c r="L227" s="215">
        <f t="shared" si="51"/>
        <v>0</v>
      </c>
      <c r="M227" s="215">
        <f t="shared" si="51"/>
        <v>0</v>
      </c>
      <c r="N227" s="215">
        <f t="shared" si="51"/>
        <v>0</v>
      </c>
    </row>
    <row r="228" spans="1:14" ht="18" customHeight="1">
      <c r="A228" s="292"/>
      <c r="B228" s="294" t="s">
        <v>516</v>
      </c>
      <c r="C228" s="294" t="s">
        <v>517</v>
      </c>
      <c r="D228" s="219">
        <f aca="true" t="shared" si="52" ref="D228:D236">E228+N228</f>
        <v>95618</v>
      </c>
      <c r="E228" s="219" t="s">
        <v>518</v>
      </c>
      <c r="F228" s="219" t="s">
        <v>519</v>
      </c>
      <c r="G228" s="219" t="s">
        <v>514</v>
      </c>
      <c r="H228" s="219" t="s">
        <v>520</v>
      </c>
      <c r="I228" s="219"/>
      <c r="J228" s="219" t="s">
        <v>515</v>
      </c>
      <c r="K228" s="219"/>
      <c r="L228" s="219"/>
      <c r="M228" s="219"/>
      <c r="N228" s="219"/>
    </row>
    <row r="229" spans="1:14" ht="18" customHeight="1">
      <c r="A229" s="292"/>
      <c r="B229" s="295"/>
      <c r="C229" s="295"/>
      <c r="D229" s="219">
        <f t="shared" si="52"/>
        <v>110618</v>
      </c>
      <c r="E229" s="219">
        <v>110618</v>
      </c>
      <c r="F229" s="219">
        <v>104560</v>
      </c>
      <c r="G229" s="219">
        <v>84528</v>
      </c>
      <c r="H229" s="219">
        <v>20032</v>
      </c>
      <c r="I229" s="219"/>
      <c r="J229" s="219">
        <v>6058</v>
      </c>
      <c r="K229" s="219"/>
      <c r="L229" s="219"/>
      <c r="M229" s="219"/>
      <c r="N229" s="219"/>
    </row>
    <row r="230" spans="1:14" ht="18" customHeight="1">
      <c r="A230" s="292"/>
      <c r="B230" s="287"/>
      <c r="C230" s="287"/>
      <c r="D230" s="219">
        <f t="shared" si="52"/>
        <v>103030.86</v>
      </c>
      <c r="E230" s="219">
        <v>103030.86</v>
      </c>
      <c r="F230" s="219">
        <f>E230-J230</f>
        <v>98283.66</v>
      </c>
      <c r="G230" s="219">
        <f>61405.04+4346.78+10801.55+1719.35</f>
        <v>78272.72000000002</v>
      </c>
      <c r="H230" s="219">
        <f>F230-G230</f>
        <v>20010.939999999988</v>
      </c>
      <c r="I230" s="219"/>
      <c r="J230" s="219">
        <v>4747.2</v>
      </c>
      <c r="K230" s="219"/>
      <c r="L230" s="219"/>
      <c r="M230" s="219"/>
      <c r="N230" s="219"/>
    </row>
    <row r="231" spans="1:14" ht="18" customHeight="1">
      <c r="A231" s="292"/>
      <c r="B231" s="294" t="s">
        <v>521</v>
      </c>
      <c r="C231" s="294" t="s">
        <v>522</v>
      </c>
      <c r="D231" s="219">
        <f t="shared" si="52"/>
        <v>6000</v>
      </c>
      <c r="E231" s="219" t="s">
        <v>523</v>
      </c>
      <c r="F231" s="219" t="s">
        <v>523</v>
      </c>
      <c r="G231" s="219"/>
      <c r="H231" s="219" t="s">
        <v>523</v>
      </c>
      <c r="I231" s="219"/>
      <c r="J231" s="219"/>
      <c r="K231" s="219"/>
      <c r="L231" s="219"/>
      <c r="M231" s="219"/>
      <c r="N231" s="219"/>
    </row>
    <row r="232" spans="1:14" ht="18" customHeight="1">
      <c r="A232" s="292"/>
      <c r="B232" s="295"/>
      <c r="C232" s="295"/>
      <c r="D232" s="219">
        <f t="shared" si="52"/>
        <v>56745.66</v>
      </c>
      <c r="E232" s="219">
        <v>56745.66</v>
      </c>
      <c r="F232" s="219">
        <v>56745.66</v>
      </c>
      <c r="G232" s="219"/>
      <c r="H232" s="219">
        <v>56745.66</v>
      </c>
      <c r="I232" s="219"/>
      <c r="J232" s="219"/>
      <c r="K232" s="219"/>
      <c r="L232" s="219"/>
      <c r="M232" s="219"/>
      <c r="N232" s="219"/>
    </row>
    <row r="233" spans="1:14" ht="18" customHeight="1">
      <c r="A233" s="292"/>
      <c r="B233" s="287"/>
      <c r="C233" s="287"/>
      <c r="D233" s="219">
        <f t="shared" si="52"/>
        <v>56745.66</v>
      </c>
      <c r="E233" s="219">
        <v>56745.66</v>
      </c>
      <c r="F233" s="219">
        <f>E233</f>
        <v>56745.66</v>
      </c>
      <c r="G233" s="219"/>
      <c r="H233" s="219">
        <f>F233</f>
        <v>56745.66</v>
      </c>
      <c r="I233" s="219"/>
      <c r="J233" s="219"/>
      <c r="K233" s="219"/>
      <c r="L233" s="219"/>
      <c r="M233" s="219"/>
      <c r="N233" s="219"/>
    </row>
    <row r="234" spans="1:14" ht="18" customHeight="1">
      <c r="A234" s="292"/>
      <c r="B234" s="294" t="s">
        <v>650</v>
      </c>
      <c r="C234" s="294" t="s">
        <v>725</v>
      </c>
      <c r="D234" s="219">
        <f t="shared" si="52"/>
        <v>0</v>
      </c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</row>
    <row r="235" spans="1:14" ht="18" customHeight="1">
      <c r="A235" s="292"/>
      <c r="B235" s="295"/>
      <c r="C235" s="295"/>
      <c r="D235" s="219">
        <f t="shared" si="52"/>
        <v>120662.34</v>
      </c>
      <c r="E235" s="219">
        <v>120662.34</v>
      </c>
      <c r="F235" s="219"/>
      <c r="G235" s="219"/>
      <c r="H235" s="219"/>
      <c r="I235" s="219"/>
      <c r="J235" s="219">
        <v>120662.34</v>
      </c>
      <c r="K235" s="219"/>
      <c r="L235" s="219"/>
      <c r="M235" s="219"/>
      <c r="N235" s="219"/>
    </row>
    <row r="236" spans="1:14" ht="18" customHeight="1">
      <c r="A236" s="293"/>
      <c r="B236" s="287"/>
      <c r="C236" s="287"/>
      <c r="D236" s="219">
        <f t="shared" si="52"/>
        <v>91205.21</v>
      </c>
      <c r="E236" s="219">
        <v>91205.21</v>
      </c>
      <c r="F236" s="219"/>
      <c r="G236" s="219"/>
      <c r="H236" s="219"/>
      <c r="I236" s="219"/>
      <c r="J236" s="219">
        <v>91205.21</v>
      </c>
      <c r="K236" s="219"/>
      <c r="L236" s="219"/>
      <c r="M236" s="219"/>
      <c r="N236" s="219"/>
    </row>
    <row r="237" spans="1:14" s="216" customFormat="1" ht="18" customHeight="1">
      <c r="A237" s="291" t="s">
        <v>315</v>
      </c>
      <c r="B237" s="296"/>
      <c r="C237" s="296" t="s">
        <v>316</v>
      </c>
      <c r="D237" s="215">
        <f>D240+D243+D246+D249+D252+D255+D258</f>
        <v>5798800</v>
      </c>
      <c r="E237" s="215">
        <f aca="true" t="shared" si="53" ref="E237:N237">E240+E243+E246+E249+E252+E255+E258</f>
        <v>1196800</v>
      </c>
      <c r="F237" s="215">
        <f t="shared" si="53"/>
        <v>1196800</v>
      </c>
      <c r="G237" s="215">
        <f t="shared" si="53"/>
        <v>105600</v>
      </c>
      <c r="H237" s="215">
        <f t="shared" si="53"/>
        <v>1091200</v>
      </c>
      <c r="I237" s="215">
        <f t="shared" si="53"/>
        <v>0</v>
      </c>
      <c r="J237" s="215">
        <f t="shared" si="53"/>
        <v>0</v>
      </c>
      <c r="K237" s="215">
        <f t="shared" si="53"/>
        <v>0</v>
      </c>
      <c r="L237" s="215">
        <f t="shared" si="53"/>
        <v>0</v>
      </c>
      <c r="M237" s="215">
        <f t="shared" si="53"/>
        <v>0</v>
      </c>
      <c r="N237" s="215">
        <f t="shared" si="53"/>
        <v>4602000</v>
      </c>
    </row>
    <row r="238" spans="1:14" s="216" customFormat="1" ht="18" customHeight="1">
      <c r="A238" s="292"/>
      <c r="B238" s="297"/>
      <c r="C238" s="297"/>
      <c r="D238" s="215">
        <f aca="true" t="shared" si="54" ref="D238:N239">D241+D244+D247+D250+D253+D256+D259</f>
        <v>6467596.62</v>
      </c>
      <c r="E238" s="215">
        <f t="shared" si="54"/>
        <v>1408093.62</v>
      </c>
      <c r="F238" s="215">
        <f t="shared" si="54"/>
        <v>1399593.62</v>
      </c>
      <c r="G238" s="215">
        <f t="shared" si="54"/>
        <v>165727.39</v>
      </c>
      <c r="H238" s="215">
        <f t="shared" si="54"/>
        <v>1233866.23</v>
      </c>
      <c r="I238" s="215">
        <f t="shared" si="54"/>
        <v>0</v>
      </c>
      <c r="J238" s="215">
        <f t="shared" si="54"/>
        <v>8500</v>
      </c>
      <c r="K238" s="215">
        <f t="shared" si="54"/>
        <v>0</v>
      </c>
      <c r="L238" s="215">
        <f t="shared" si="54"/>
        <v>0</v>
      </c>
      <c r="M238" s="215">
        <f t="shared" si="54"/>
        <v>0</v>
      </c>
      <c r="N238" s="215">
        <f t="shared" si="54"/>
        <v>5059503</v>
      </c>
    </row>
    <row r="239" spans="1:14" s="216" customFormat="1" ht="18" customHeight="1">
      <c r="A239" s="292"/>
      <c r="B239" s="298"/>
      <c r="C239" s="298"/>
      <c r="D239" s="215">
        <f t="shared" si="54"/>
        <v>3500229.4000000004</v>
      </c>
      <c r="E239" s="215">
        <f t="shared" si="54"/>
        <v>821231.43</v>
      </c>
      <c r="F239" s="215">
        <f t="shared" si="54"/>
        <v>815523.7999999999</v>
      </c>
      <c r="G239" s="215">
        <f t="shared" si="54"/>
        <v>109571.21</v>
      </c>
      <c r="H239" s="215">
        <f t="shared" si="54"/>
        <v>705952.59</v>
      </c>
      <c r="I239" s="215">
        <f t="shared" si="54"/>
        <v>0</v>
      </c>
      <c r="J239" s="215">
        <f t="shared" si="54"/>
        <v>5707.63</v>
      </c>
      <c r="K239" s="215">
        <f t="shared" si="54"/>
        <v>0</v>
      </c>
      <c r="L239" s="215">
        <f t="shared" si="54"/>
        <v>0</v>
      </c>
      <c r="M239" s="215">
        <f t="shared" si="54"/>
        <v>0</v>
      </c>
      <c r="N239" s="215">
        <f t="shared" si="54"/>
        <v>2678997.9699999997</v>
      </c>
    </row>
    <row r="240" spans="1:14" ht="18" customHeight="1">
      <c r="A240" s="292"/>
      <c r="B240" s="294" t="s">
        <v>524</v>
      </c>
      <c r="C240" s="294" t="s">
        <v>525</v>
      </c>
      <c r="D240" s="219">
        <f aca="true" t="shared" si="55" ref="D240:D260">E240+N240</f>
        <v>4320000</v>
      </c>
      <c r="E240" s="219" t="s">
        <v>526</v>
      </c>
      <c r="F240" s="219" t="s">
        <v>526</v>
      </c>
      <c r="G240" s="219"/>
      <c r="H240" s="219" t="s">
        <v>526</v>
      </c>
      <c r="I240" s="219"/>
      <c r="J240" s="219"/>
      <c r="K240" s="219"/>
      <c r="L240" s="219"/>
      <c r="M240" s="219"/>
      <c r="N240" s="219" t="s">
        <v>582</v>
      </c>
    </row>
    <row r="241" spans="1:14" ht="18" customHeight="1">
      <c r="A241" s="292"/>
      <c r="B241" s="295"/>
      <c r="C241" s="295"/>
      <c r="D241" s="219">
        <f t="shared" si="55"/>
        <v>4755293</v>
      </c>
      <c r="E241" s="219">
        <v>805000</v>
      </c>
      <c r="F241" s="219">
        <v>805000</v>
      </c>
      <c r="G241" s="219"/>
      <c r="H241" s="219">
        <v>805000</v>
      </c>
      <c r="I241" s="219"/>
      <c r="J241" s="219"/>
      <c r="K241" s="219"/>
      <c r="L241" s="219"/>
      <c r="M241" s="219"/>
      <c r="N241" s="219">
        <v>3950293</v>
      </c>
    </row>
    <row r="242" spans="1:14" ht="18" customHeight="1">
      <c r="A242" s="292"/>
      <c r="B242" s="287"/>
      <c r="C242" s="287"/>
      <c r="D242" s="219">
        <f t="shared" si="55"/>
        <v>2333499.15</v>
      </c>
      <c r="E242" s="219">
        <f>2333499.15-N242</f>
        <v>341990.68999999994</v>
      </c>
      <c r="F242" s="219">
        <f>E242</f>
        <v>341990.68999999994</v>
      </c>
      <c r="G242" s="219"/>
      <c r="H242" s="219">
        <f>F242</f>
        <v>341990.68999999994</v>
      </c>
      <c r="I242" s="219"/>
      <c r="J242" s="219"/>
      <c r="K242" s="219"/>
      <c r="L242" s="219"/>
      <c r="M242" s="219"/>
      <c r="N242" s="219">
        <f>860755.17+1130753.29</f>
        <v>1991508.46</v>
      </c>
    </row>
    <row r="243" spans="1:14" ht="18" customHeight="1">
      <c r="A243" s="292"/>
      <c r="B243" s="294" t="s">
        <v>651</v>
      </c>
      <c r="C243" s="294" t="s">
        <v>726</v>
      </c>
      <c r="D243" s="219">
        <f t="shared" si="55"/>
        <v>0</v>
      </c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</row>
    <row r="244" spans="1:14" ht="18" customHeight="1">
      <c r="A244" s="292"/>
      <c r="B244" s="295"/>
      <c r="C244" s="295"/>
      <c r="D244" s="219">
        <f t="shared" si="55"/>
        <v>75293.62</v>
      </c>
      <c r="E244" s="219">
        <v>75293.62</v>
      </c>
      <c r="F244" s="219">
        <v>75293.62</v>
      </c>
      <c r="G244" s="219"/>
      <c r="H244" s="219">
        <v>75293.62</v>
      </c>
      <c r="I244" s="219"/>
      <c r="J244" s="219"/>
      <c r="K244" s="219"/>
      <c r="L244" s="219"/>
      <c r="M244" s="219"/>
      <c r="N244" s="219"/>
    </row>
    <row r="245" spans="1:14" ht="18" customHeight="1">
      <c r="A245" s="292"/>
      <c r="B245" s="287"/>
      <c r="C245" s="287"/>
      <c r="D245" s="219">
        <f t="shared" si="55"/>
        <v>71807.57</v>
      </c>
      <c r="E245" s="219">
        <v>71807.57</v>
      </c>
      <c r="F245" s="219">
        <f>E245</f>
        <v>71807.57</v>
      </c>
      <c r="G245" s="219"/>
      <c r="H245" s="219">
        <f>F245</f>
        <v>71807.57</v>
      </c>
      <c r="I245" s="219"/>
      <c r="J245" s="219"/>
      <c r="K245" s="219"/>
      <c r="L245" s="219"/>
      <c r="M245" s="219"/>
      <c r="N245" s="219"/>
    </row>
    <row r="246" spans="1:14" ht="18" customHeight="1">
      <c r="A246" s="292"/>
      <c r="B246" s="294" t="s">
        <v>527</v>
      </c>
      <c r="C246" s="294" t="s">
        <v>528</v>
      </c>
      <c r="D246" s="219">
        <f t="shared" si="55"/>
        <v>101800</v>
      </c>
      <c r="E246" s="219" t="s">
        <v>529</v>
      </c>
      <c r="F246" s="219" t="s">
        <v>529</v>
      </c>
      <c r="G246" s="219" t="s">
        <v>530</v>
      </c>
      <c r="H246" s="219" t="s">
        <v>531</v>
      </c>
      <c r="I246" s="219"/>
      <c r="J246" s="219"/>
      <c r="K246" s="219"/>
      <c r="L246" s="219"/>
      <c r="M246" s="219"/>
      <c r="N246" s="219" t="s">
        <v>583</v>
      </c>
    </row>
    <row r="247" spans="1:14" ht="18" customHeight="1">
      <c r="A247" s="292"/>
      <c r="B247" s="295"/>
      <c r="C247" s="295"/>
      <c r="D247" s="219">
        <f t="shared" si="55"/>
        <v>116492.42</v>
      </c>
      <c r="E247" s="219">
        <v>116492.42</v>
      </c>
      <c r="F247" s="219">
        <v>112992.42</v>
      </c>
      <c r="G247" s="219">
        <v>61227.39</v>
      </c>
      <c r="H247" s="219">
        <v>51765.03</v>
      </c>
      <c r="I247" s="219"/>
      <c r="J247" s="219">
        <v>3500</v>
      </c>
      <c r="K247" s="219"/>
      <c r="L247" s="219"/>
      <c r="M247" s="219"/>
      <c r="N247" s="219"/>
    </row>
    <row r="248" spans="1:14" ht="18" customHeight="1">
      <c r="A248" s="292"/>
      <c r="B248" s="287"/>
      <c r="C248" s="287"/>
      <c r="D248" s="219">
        <f t="shared" si="55"/>
        <v>109006.22</v>
      </c>
      <c r="E248" s="219">
        <v>109006.22</v>
      </c>
      <c r="F248" s="219">
        <f>E248-J248</f>
        <v>108088.55</v>
      </c>
      <c r="G248" s="219">
        <f>47644.75+1727.39+7419.45+1201.72</f>
        <v>57993.31</v>
      </c>
      <c r="H248" s="219">
        <f>F248-G248</f>
        <v>50095.240000000005</v>
      </c>
      <c r="I248" s="219"/>
      <c r="J248" s="219">
        <v>917.67</v>
      </c>
      <c r="K248" s="219"/>
      <c r="L248" s="219"/>
      <c r="M248" s="219"/>
      <c r="N248" s="219"/>
    </row>
    <row r="249" spans="1:14" ht="18" customHeight="1">
      <c r="A249" s="292"/>
      <c r="B249" s="294" t="s">
        <v>532</v>
      </c>
      <c r="C249" s="294" t="s">
        <v>533</v>
      </c>
      <c r="D249" s="219">
        <f t="shared" si="55"/>
        <v>119000</v>
      </c>
      <c r="E249" s="219" t="s">
        <v>534</v>
      </c>
      <c r="F249" s="219" t="s">
        <v>534</v>
      </c>
      <c r="G249" s="219" t="s">
        <v>475</v>
      </c>
      <c r="H249" s="219" t="s">
        <v>535</v>
      </c>
      <c r="I249" s="219"/>
      <c r="J249" s="219"/>
      <c r="K249" s="219"/>
      <c r="L249" s="219"/>
      <c r="M249" s="219"/>
      <c r="N249" s="219"/>
    </row>
    <row r="250" spans="1:14" ht="18" customHeight="1">
      <c r="A250" s="292"/>
      <c r="B250" s="295"/>
      <c r="C250" s="295"/>
      <c r="D250" s="219">
        <f t="shared" si="55"/>
        <v>104307.58</v>
      </c>
      <c r="E250" s="219">
        <v>94307.58</v>
      </c>
      <c r="F250" s="219">
        <v>94307.58</v>
      </c>
      <c r="G250" s="219">
        <v>4000</v>
      </c>
      <c r="H250" s="219">
        <v>90307.58</v>
      </c>
      <c r="I250" s="219"/>
      <c r="J250" s="219"/>
      <c r="K250" s="219"/>
      <c r="L250" s="219"/>
      <c r="M250" s="219"/>
      <c r="N250" s="219">
        <v>10000</v>
      </c>
    </row>
    <row r="251" spans="1:14" ht="18" customHeight="1">
      <c r="A251" s="292"/>
      <c r="B251" s="287"/>
      <c r="C251" s="287"/>
      <c r="D251" s="219">
        <f t="shared" si="55"/>
        <v>86641.06</v>
      </c>
      <c r="E251" s="219">
        <f>86641.06-N251</f>
        <v>82141.06</v>
      </c>
      <c r="F251" s="219">
        <f>E251</f>
        <v>82141.06</v>
      </c>
      <c r="G251" s="219">
        <v>770.33</v>
      </c>
      <c r="H251" s="219">
        <f>F251-G251</f>
        <v>81370.73</v>
      </c>
      <c r="I251" s="219"/>
      <c r="J251" s="219"/>
      <c r="K251" s="219"/>
      <c r="L251" s="219"/>
      <c r="M251" s="219"/>
      <c r="N251" s="219">
        <v>4500</v>
      </c>
    </row>
    <row r="252" spans="1:14" ht="18" customHeight="1">
      <c r="A252" s="292"/>
      <c r="B252" s="294" t="s">
        <v>654</v>
      </c>
      <c r="C252" s="294" t="s">
        <v>727</v>
      </c>
      <c r="D252" s="219">
        <f t="shared" si="55"/>
        <v>0</v>
      </c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</row>
    <row r="253" spans="1:14" ht="18" customHeight="1">
      <c r="A253" s="292"/>
      <c r="B253" s="295"/>
      <c r="C253" s="295"/>
      <c r="D253" s="219">
        <f t="shared" si="55"/>
        <v>9000</v>
      </c>
      <c r="E253" s="219">
        <v>9000</v>
      </c>
      <c r="F253" s="219">
        <v>9000</v>
      </c>
      <c r="G253" s="219"/>
      <c r="H253" s="219">
        <v>9000</v>
      </c>
      <c r="I253" s="219"/>
      <c r="J253" s="219"/>
      <c r="K253" s="219"/>
      <c r="L253" s="219"/>
      <c r="M253" s="219"/>
      <c r="N253" s="219"/>
    </row>
    <row r="254" spans="1:14" ht="18" customHeight="1">
      <c r="A254" s="292"/>
      <c r="B254" s="287"/>
      <c r="C254" s="287"/>
      <c r="D254" s="219">
        <f t="shared" si="55"/>
        <v>5700.08</v>
      </c>
      <c r="E254" s="219">
        <v>5700.08</v>
      </c>
      <c r="F254" s="219">
        <f>E254</f>
        <v>5700.08</v>
      </c>
      <c r="G254" s="219"/>
      <c r="H254" s="219">
        <f>F254</f>
        <v>5700.08</v>
      </c>
      <c r="I254" s="219"/>
      <c r="J254" s="219"/>
      <c r="K254" s="219"/>
      <c r="L254" s="219"/>
      <c r="M254" s="219"/>
      <c r="N254" s="219"/>
    </row>
    <row r="255" spans="1:14" ht="18" customHeight="1">
      <c r="A255" s="292"/>
      <c r="B255" s="294" t="s">
        <v>536</v>
      </c>
      <c r="C255" s="294" t="s">
        <v>537</v>
      </c>
      <c r="D255" s="219">
        <f t="shared" si="55"/>
        <v>135000</v>
      </c>
      <c r="E255" s="219" t="s">
        <v>538</v>
      </c>
      <c r="F255" s="219" t="s">
        <v>538</v>
      </c>
      <c r="G255" s="219"/>
      <c r="H255" s="219" t="s">
        <v>538</v>
      </c>
      <c r="I255" s="219"/>
      <c r="J255" s="219"/>
      <c r="K255" s="219"/>
      <c r="L255" s="219"/>
      <c r="M255" s="219"/>
      <c r="N255" s="219"/>
    </row>
    <row r="256" spans="1:14" ht="18" customHeight="1">
      <c r="A256" s="292"/>
      <c r="B256" s="295"/>
      <c r="C256" s="295"/>
      <c r="D256" s="219">
        <f t="shared" si="55"/>
        <v>165000</v>
      </c>
      <c r="E256" s="219">
        <v>165000</v>
      </c>
      <c r="F256" s="219">
        <v>165000</v>
      </c>
      <c r="G256" s="219"/>
      <c r="H256" s="219">
        <v>165000</v>
      </c>
      <c r="I256" s="219"/>
      <c r="J256" s="219"/>
      <c r="K256" s="219"/>
      <c r="L256" s="219"/>
      <c r="M256" s="219"/>
      <c r="N256" s="219"/>
    </row>
    <row r="257" spans="1:14" ht="18" customHeight="1">
      <c r="A257" s="292"/>
      <c r="B257" s="287"/>
      <c r="C257" s="287"/>
      <c r="D257" s="219">
        <f t="shared" si="55"/>
        <v>125357.16</v>
      </c>
      <c r="E257" s="219">
        <v>125357.16</v>
      </c>
      <c r="F257" s="219">
        <f>E257</f>
        <v>125357.16</v>
      </c>
      <c r="G257" s="219"/>
      <c r="H257" s="219">
        <f>F257</f>
        <v>125357.16</v>
      </c>
      <c r="I257" s="219"/>
      <c r="J257" s="219"/>
      <c r="K257" s="219"/>
      <c r="L257" s="219"/>
      <c r="M257" s="219"/>
      <c r="N257" s="219"/>
    </row>
    <row r="258" spans="1:14" ht="18" customHeight="1">
      <c r="A258" s="292"/>
      <c r="B258" s="294" t="s">
        <v>539</v>
      </c>
      <c r="C258" s="294" t="s">
        <v>355</v>
      </c>
      <c r="D258" s="219">
        <f t="shared" si="55"/>
        <v>1123000</v>
      </c>
      <c r="E258" s="219" t="s">
        <v>540</v>
      </c>
      <c r="F258" s="219" t="s">
        <v>540</v>
      </c>
      <c r="G258" s="219" t="s">
        <v>508</v>
      </c>
      <c r="H258" s="219" t="s">
        <v>541</v>
      </c>
      <c r="I258" s="219"/>
      <c r="J258" s="219"/>
      <c r="K258" s="219"/>
      <c r="L258" s="219"/>
      <c r="M258" s="219"/>
      <c r="N258" s="219" t="s">
        <v>584</v>
      </c>
    </row>
    <row r="259" spans="1:14" ht="18" customHeight="1">
      <c r="A259" s="292"/>
      <c r="B259" s="295"/>
      <c r="C259" s="295"/>
      <c r="D259" s="219">
        <f t="shared" si="55"/>
        <v>1242210</v>
      </c>
      <c r="E259" s="219">
        <v>143000</v>
      </c>
      <c r="F259" s="219">
        <v>138000</v>
      </c>
      <c r="G259" s="219">
        <v>100500</v>
      </c>
      <c r="H259" s="219">
        <v>37500</v>
      </c>
      <c r="I259" s="219"/>
      <c r="J259" s="219">
        <v>5000</v>
      </c>
      <c r="K259" s="219"/>
      <c r="L259" s="219"/>
      <c r="M259" s="219"/>
      <c r="N259" s="219">
        <v>1099210</v>
      </c>
    </row>
    <row r="260" spans="1:14" ht="18" customHeight="1">
      <c r="A260" s="293"/>
      <c r="B260" s="287"/>
      <c r="C260" s="287"/>
      <c r="D260" s="219">
        <f t="shared" si="55"/>
        <v>768218.16</v>
      </c>
      <c r="E260" s="219">
        <f>768218.16-N260</f>
        <v>85228.65000000002</v>
      </c>
      <c r="F260" s="219">
        <f>E260-J260</f>
        <v>80438.69000000002</v>
      </c>
      <c r="G260" s="219">
        <f>37630.97+3120.91+5824.41+4231.28</f>
        <v>50807.57000000001</v>
      </c>
      <c r="H260" s="219">
        <f>F260-G260</f>
        <v>29631.12000000001</v>
      </c>
      <c r="I260" s="219"/>
      <c r="J260" s="219">
        <v>4789.96</v>
      </c>
      <c r="K260" s="219"/>
      <c r="L260" s="219"/>
      <c r="M260" s="219"/>
      <c r="N260" s="219">
        <f>650964.51+32025</f>
        <v>682989.51</v>
      </c>
    </row>
    <row r="261" spans="1:14" s="216" customFormat="1" ht="18" customHeight="1">
      <c r="A261" s="291" t="s">
        <v>159</v>
      </c>
      <c r="B261" s="296"/>
      <c r="C261" s="296" t="s">
        <v>319</v>
      </c>
      <c r="D261" s="215">
        <f>D264+D267+D270+D273</f>
        <v>2632990.09</v>
      </c>
      <c r="E261" s="215">
        <f aca="true" t="shared" si="56" ref="E261:N261">E264+E267+E270+E273</f>
        <v>887990.09</v>
      </c>
      <c r="F261" s="215">
        <f t="shared" si="56"/>
        <v>422500</v>
      </c>
      <c r="G261" s="215">
        <f t="shared" si="56"/>
        <v>0</v>
      </c>
      <c r="H261" s="215">
        <f t="shared" si="56"/>
        <v>422500</v>
      </c>
      <c r="I261" s="215">
        <f t="shared" si="56"/>
        <v>465490.08999999997</v>
      </c>
      <c r="J261" s="215">
        <f t="shared" si="56"/>
        <v>0</v>
      </c>
      <c r="K261" s="215">
        <f t="shared" si="56"/>
        <v>0</v>
      </c>
      <c r="L261" s="215">
        <f t="shared" si="56"/>
        <v>0</v>
      </c>
      <c r="M261" s="215">
        <f t="shared" si="56"/>
        <v>0</v>
      </c>
      <c r="N261" s="215">
        <f t="shared" si="56"/>
        <v>1745000</v>
      </c>
    </row>
    <row r="262" spans="1:14" s="216" customFormat="1" ht="18" customHeight="1">
      <c r="A262" s="292"/>
      <c r="B262" s="297"/>
      <c r="C262" s="297"/>
      <c r="D262" s="215">
        <f aca="true" t="shared" si="57" ref="D262:N263">D265+D268+D271+D274</f>
        <v>2061400</v>
      </c>
      <c r="E262" s="215">
        <f t="shared" si="57"/>
        <v>746400</v>
      </c>
      <c r="F262" s="215">
        <f t="shared" si="57"/>
        <v>232500</v>
      </c>
      <c r="G262" s="215">
        <f t="shared" si="57"/>
        <v>0</v>
      </c>
      <c r="H262" s="215">
        <f t="shared" si="57"/>
        <v>232500</v>
      </c>
      <c r="I262" s="215">
        <f t="shared" si="57"/>
        <v>513900</v>
      </c>
      <c r="J262" s="215">
        <f t="shared" si="57"/>
        <v>0</v>
      </c>
      <c r="K262" s="215">
        <f t="shared" si="57"/>
        <v>0</v>
      </c>
      <c r="L262" s="215">
        <f t="shared" si="57"/>
        <v>0</v>
      </c>
      <c r="M262" s="215">
        <f t="shared" si="57"/>
        <v>0</v>
      </c>
      <c r="N262" s="215">
        <f t="shared" si="57"/>
        <v>1315000</v>
      </c>
    </row>
    <row r="263" spans="1:14" s="216" customFormat="1" ht="18" customHeight="1">
      <c r="A263" s="292"/>
      <c r="B263" s="298"/>
      <c r="C263" s="298"/>
      <c r="D263" s="215">
        <f t="shared" si="57"/>
        <v>1421815.87</v>
      </c>
      <c r="E263" s="215">
        <f t="shared" si="57"/>
        <v>556488.6200000001</v>
      </c>
      <c r="F263" s="215">
        <f t="shared" si="57"/>
        <v>62588.62000000011</v>
      </c>
      <c r="G263" s="215">
        <f t="shared" si="57"/>
        <v>0</v>
      </c>
      <c r="H263" s="215">
        <f t="shared" si="57"/>
        <v>62588.62000000011</v>
      </c>
      <c r="I263" s="215">
        <f t="shared" si="57"/>
        <v>493900</v>
      </c>
      <c r="J263" s="215">
        <f t="shared" si="57"/>
        <v>0</v>
      </c>
      <c r="K263" s="215">
        <f t="shared" si="57"/>
        <v>0</v>
      </c>
      <c r="L263" s="215">
        <f t="shared" si="57"/>
        <v>0</v>
      </c>
      <c r="M263" s="215">
        <f t="shared" si="57"/>
        <v>0</v>
      </c>
      <c r="N263" s="215">
        <f t="shared" si="57"/>
        <v>865327.25</v>
      </c>
    </row>
    <row r="264" spans="1:14" ht="18" customHeight="1">
      <c r="A264" s="292"/>
      <c r="B264" s="294" t="s">
        <v>160</v>
      </c>
      <c r="C264" s="294" t="s">
        <v>543</v>
      </c>
      <c r="D264" s="219">
        <f aca="true" t="shared" si="58" ref="D264:D275">E264+N264</f>
        <v>2471400</v>
      </c>
      <c r="E264" s="219" t="s">
        <v>586</v>
      </c>
      <c r="F264" s="219" t="s">
        <v>542</v>
      </c>
      <c r="G264" s="219"/>
      <c r="H264" s="219" t="s">
        <v>542</v>
      </c>
      <c r="I264" s="219" t="s">
        <v>544</v>
      </c>
      <c r="J264" s="219"/>
      <c r="K264" s="219"/>
      <c r="L264" s="219"/>
      <c r="M264" s="219"/>
      <c r="N264" s="219" t="s">
        <v>585</v>
      </c>
    </row>
    <row r="265" spans="1:14" ht="18" customHeight="1">
      <c r="A265" s="292"/>
      <c r="B265" s="295"/>
      <c r="C265" s="295"/>
      <c r="D265" s="219">
        <f t="shared" si="58"/>
        <v>1871400</v>
      </c>
      <c r="E265" s="219">
        <v>556400</v>
      </c>
      <c r="F265" s="219">
        <v>222500</v>
      </c>
      <c r="G265" s="219"/>
      <c r="H265" s="219">
        <v>222500</v>
      </c>
      <c r="I265" s="219">
        <v>333900</v>
      </c>
      <c r="J265" s="219"/>
      <c r="K265" s="219"/>
      <c r="L265" s="219"/>
      <c r="M265" s="219"/>
      <c r="N265" s="219">
        <v>1315000</v>
      </c>
    </row>
    <row r="266" spans="1:14" ht="18" customHeight="1">
      <c r="A266" s="292"/>
      <c r="B266" s="287"/>
      <c r="C266" s="287"/>
      <c r="D266" s="219">
        <f t="shared" si="58"/>
        <v>1258815.87</v>
      </c>
      <c r="E266" s="219">
        <f>1258815.87-N266</f>
        <v>393488.6200000001</v>
      </c>
      <c r="F266" s="219">
        <f>E266-I266</f>
        <v>59588.62000000011</v>
      </c>
      <c r="G266" s="219"/>
      <c r="H266" s="219">
        <f>F266</f>
        <v>59588.62000000011</v>
      </c>
      <c r="I266" s="219">
        <v>333900</v>
      </c>
      <c r="J266" s="219"/>
      <c r="K266" s="219"/>
      <c r="L266" s="219"/>
      <c r="M266" s="219"/>
      <c r="N266" s="219">
        <f>215831.98+649495.27</f>
        <v>865327.25</v>
      </c>
    </row>
    <row r="267" spans="1:14" ht="18" customHeight="1">
      <c r="A267" s="292"/>
      <c r="B267" s="294" t="s">
        <v>161</v>
      </c>
      <c r="C267" s="294" t="s">
        <v>545</v>
      </c>
      <c r="D267" s="219">
        <f t="shared" si="58"/>
        <v>61590.09</v>
      </c>
      <c r="E267" s="219" t="s">
        <v>546</v>
      </c>
      <c r="F267" s="219"/>
      <c r="G267" s="219"/>
      <c r="H267" s="219"/>
      <c r="I267" s="219" t="s">
        <v>546</v>
      </c>
      <c r="J267" s="219"/>
      <c r="K267" s="219"/>
      <c r="L267" s="219"/>
      <c r="M267" s="219"/>
      <c r="N267" s="219"/>
    </row>
    <row r="268" spans="1:14" ht="18" customHeight="1">
      <c r="A268" s="292"/>
      <c r="B268" s="295"/>
      <c r="C268" s="295"/>
      <c r="D268" s="219">
        <f t="shared" si="58"/>
        <v>80000</v>
      </c>
      <c r="E268" s="219">
        <v>80000</v>
      </c>
      <c r="F268" s="219"/>
      <c r="G268" s="219"/>
      <c r="H268" s="219"/>
      <c r="I268" s="219">
        <v>80000</v>
      </c>
      <c r="J268" s="219"/>
      <c r="K268" s="219"/>
      <c r="L268" s="219"/>
      <c r="M268" s="219"/>
      <c r="N268" s="219"/>
    </row>
    <row r="269" spans="1:14" ht="18" customHeight="1">
      <c r="A269" s="292"/>
      <c r="B269" s="287"/>
      <c r="C269" s="287"/>
      <c r="D269" s="219">
        <f t="shared" si="58"/>
        <v>80000</v>
      </c>
      <c r="E269" s="219">
        <v>80000</v>
      </c>
      <c r="F269" s="219"/>
      <c r="G269" s="219"/>
      <c r="H269" s="219"/>
      <c r="I269" s="219">
        <v>80000</v>
      </c>
      <c r="J269" s="219"/>
      <c r="K269" s="219"/>
      <c r="L269" s="219"/>
      <c r="M269" s="219"/>
      <c r="N269" s="219"/>
    </row>
    <row r="270" spans="1:14" ht="18" customHeight="1">
      <c r="A270" s="292"/>
      <c r="B270" s="294" t="s">
        <v>181</v>
      </c>
      <c r="C270" s="294" t="s">
        <v>547</v>
      </c>
      <c r="D270" s="219">
        <f t="shared" si="58"/>
        <v>100000</v>
      </c>
      <c r="E270" s="219" t="s">
        <v>548</v>
      </c>
      <c r="F270" s="219"/>
      <c r="G270" s="219"/>
      <c r="H270" s="219"/>
      <c r="I270" s="219" t="s">
        <v>548</v>
      </c>
      <c r="J270" s="219"/>
      <c r="K270" s="219"/>
      <c r="L270" s="219"/>
      <c r="M270" s="219"/>
      <c r="N270" s="219"/>
    </row>
    <row r="271" spans="1:14" ht="18" customHeight="1">
      <c r="A271" s="292"/>
      <c r="B271" s="295"/>
      <c r="C271" s="295"/>
      <c r="D271" s="219">
        <f t="shared" si="58"/>
        <v>100000</v>
      </c>
      <c r="E271" s="219">
        <v>100000</v>
      </c>
      <c r="F271" s="219"/>
      <c r="G271" s="219"/>
      <c r="H271" s="219"/>
      <c r="I271" s="219">
        <v>100000</v>
      </c>
      <c r="J271" s="219"/>
      <c r="K271" s="219"/>
      <c r="L271" s="219"/>
      <c r="M271" s="219"/>
      <c r="N271" s="219"/>
    </row>
    <row r="272" spans="1:14" ht="18" customHeight="1">
      <c r="A272" s="292"/>
      <c r="B272" s="287"/>
      <c r="C272" s="287"/>
      <c r="D272" s="219">
        <f t="shared" si="58"/>
        <v>80000</v>
      </c>
      <c r="E272" s="219">
        <v>80000</v>
      </c>
      <c r="F272" s="219"/>
      <c r="G272" s="219"/>
      <c r="H272" s="219"/>
      <c r="I272" s="219">
        <v>80000</v>
      </c>
      <c r="J272" s="219"/>
      <c r="K272" s="219"/>
      <c r="L272" s="219"/>
      <c r="M272" s="219"/>
      <c r="N272" s="219"/>
    </row>
    <row r="273" spans="1:14" ht="18" customHeight="1">
      <c r="A273" s="292"/>
      <c r="B273" s="294" t="s">
        <v>728</v>
      </c>
      <c r="C273" s="294" t="s">
        <v>355</v>
      </c>
      <c r="D273" s="219">
        <f t="shared" si="58"/>
        <v>0</v>
      </c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</row>
    <row r="274" spans="1:14" ht="18" customHeight="1">
      <c r="A274" s="292"/>
      <c r="B274" s="295"/>
      <c r="C274" s="295"/>
      <c r="D274" s="219">
        <f t="shared" si="58"/>
        <v>10000</v>
      </c>
      <c r="E274" s="219">
        <v>10000</v>
      </c>
      <c r="F274" s="219">
        <v>10000</v>
      </c>
      <c r="G274" s="219"/>
      <c r="H274" s="219">
        <v>10000</v>
      </c>
      <c r="I274" s="219"/>
      <c r="J274" s="219"/>
      <c r="K274" s="219"/>
      <c r="L274" s="219"/>
      <c r="M274" s="219"/>
      <c r="N274" s="219"/>
    </row>
    <row r="275" spans="1:14" ht="18" customHeight="1">
      <c r="A275" s="293"/>
      <c r="B275" s="287"/>
      <c r="C275" s="287"/>
      <c r="D275" s="219">
        <f t="shared" si="58"/>
        <v>3000</v>
      </c>
      <c r="E275" s="219">
        <v>3000</v>
      </c>
      <c r="F275" s="219">
        <f>E275</f>
        <v>3000</v>
      </c>
      <c r="G275" s="219"/>
      <c r="H275" s="219">
        <f>F275</f>
        <v>3000</v>
      </c>
      <c r="I275" s="219"/>
      <c r="J275" s="219"/>
      <c r="K275" s="219"/>
      <c r="L275" s="219"/>
      <c r="M275" s="219"/>
      <c r="N275" s="219"/>
    </row>
    <row r="276" spans="1:14" s="216" customFormat="1" ht="18" customHeight="1">
      <c r="A276" s="291" t="s">
        <v>549</v>
      </c>
      <c r="B276" s="296"/>
      <c r="C276" s="296" t="s">
        <v>550</v>
      </c>
      <c r="D276" s="215">
        <f>D279+D282+D285</f>
        <v>6170500</v>
      </c>
      <c r="E276" s="215">
        <f aca="true" t="shared" si="59" ref="E276:N276">E279+E282+E285</f>
        <v>1170500</v>
      </c>
      <c r="F276" s="215">
        <f t="shared" si="59"/>
        <v>1065000</v>
      </c>
      <c r="G276" s="215">
        <f t="shared" si="59"/>
        <v>20000</v>
      </c>
      <c r="H276" s="215">
        <f t="shared" si="59"/>
        <v>1045000</v>
      </c>
      <c r="I276" s="215">
        <f t="shared" si="59"/>
        <v>105500</v>
      </c>
      <c r="J276" s="215">
        <f t="shared" si="59"/>
        <v>0</v>
      </c>
      <c r="K276" s="215">
        <f t="shared" si="59"/>
        <v>0</v>
      </c>
      <c r="L276" s="215">
        <f t="shared" si="59"/>
        <v>0</v>
      </c>
      <c r="M276" s="215">
        <f t="shared" si="59"/>
        <v>0</v>
      </c>
      <c r="N276" s="215">
        <f t="shared" si="59"/>
        <v>5000000</v>
      </c>
    </row>
    <row r="277" spans="1:14" s="216" customFormat="1" ht="18" customHeight="1">
      <c r="A277" s="292"/>
      <c r="B277" s="297"/>
      <c r="C277" s="297"/>
      <c r="D277" s="215">
        <f aca="true" t="shared" si="60" ref="D277:N278">D280+D283+D286</f>
        <v>2260690</v>
      </c>
      <c r="E277" s="215">
        <f t="shared" si="60"/>
        <v>260690</v>
      </c>
      <c r="F277" s="215">
        <f t="shared" si="60"/>
        <v>99990</v>
      </c>
      <c r="G277" s="215">
        <f t="shared" si="60"/>
        <v>20000</v>
      </c>
      <c r="H277" s="215">
        <f t="shared" si="60"/>
        <v>79990</v>
      </c>
      <c r="I277" s="215">
        <f t="shared" si="60"/>
        <v>105500</v>
      </c>
      <c r="J277" s="215">
        <f t="shared" si="60"/>
        <v>0</v>
      </c>
      <c r="K277" s="215">
        <f t="shared" si="60"/>
        <v>55200</v>
      </c>
      <c r="L277" s="215">
        <f t="shared" si="60"/>
        <v>0</v>
      </c>
      <c r="M277" s="215">
        <f t="shared" si="60"/>
        <v>0</v>
      </c>
      <c r="N277" s="215">
        <f t="shared" si="60"/>
        <v>2000000</v>
      </c>
    </row>
    <row r="278" spans="1:14" s="216" customFormat="1" ht="18" customHeight="1">
      <c r="A278" s="292"/>
      <c r="B278" s="298"/>
      <c r="C278" s="298"/>
      <c r="D278" s="215">
        <f t="shared" si="60"/>
        <v>1429702.5200000003</v>
      </c>
      <c r="E278" s="215">
        <f t="shared" si="60"/>
        <v>134976.03000000012</v>
      </c>
      <c r="F278" s="215">
        <f t="shared" si="60"/>
        <v>31156.230000000112</v>
      </c>
      <c r="G278" s="215">
        <f t="shared" si="60"/>
        <v>14798.52</v>
      </c>
      <c r="H278" s="215">
        <f t="shared" si="60"/>
        <v>16357.710000000112</v>
      </c>
      <c r="I278" s="215">
        <f t="shared" si="60"/>
        <v>66000</v>
      </c>
      <c r="J278" s="215">
        <f t="shared" si="60"/>
        <v>0</v>
      </c>
      <c r="K278" s="215">
        <f t="shared" si="60"/>
        <v>37819.8</v>
      </c>
      <c r="L278" s="215">
        <f t="shared" si="60"/>
        <v>0</v>
      </c>
      <c r="M278" s="215">
        <f t="shared" si="60"/>
        <v>0</v>
      </c>
      <c r="N278" s="215">
        <f t="shared" si="60"/>
        <v>1294726.49</v>
      </c>
    </row>
    <row r="279" spans="1:14" ht="18" customHeight="1">
      <c r="A279" s="292"/>
      <c r="B279" s="294" t="s">
        <v>551</v>
      </c>
      <c r="C279" s="294" t="s">
        <v>552</v>
      </c>
      <c r="D279" s="219">
        <f aca="true" t="shared" si="61" ref="D279:D287">E279+N279</f>
        <v>6060000</v>
      </c>
      <c r="E279" s="219" t="s">
        <v>553</v>
      </c>
      <c r="F279" s="219" t="s">
        <v>553</v>
      </c>
      <c r="G279" s="219" t="s">
        <v>360</v>
      </c>
      <c r="H279" s="219" t="s">
        <v>554</v>
      </c>
      <c r="I279" s="219"/>
      <c r="J279" s="219"/>
      <c r="K279" s="219"/>
      <c r="L279" s="219"/>
      <c r="M279" s="219"/>
      <c r="N279" s="219" t="s">
        <v>587</v>
      </c>
    </row>
    <row r="280" spans="1:14" ht="18" customHeight="1">
      <c r="A280" s="292"/>
      <c r="B280" s="295"/>
      <c r="C280" s="295"/>
      <c r="D280" s="219">
        <f t="shared" si="61"/>
        <v>2078990</v>
      </c>
      <c r="E280" s="219">
        <v>78990</v>
      </c>
      <c r="F280" s="219">
        <v>78990</v>
      </c>
      <c r="G280" s="219">
        <v>20000</v>
      </c>
      <c r="H280" s="219">
        <v>58990</v>
      </c>
      <c r="I280" s="219"/>
      <c r="J280" s="219"/>
      <c r="K280" s="219"/>
      <c r="L280" s="219"/>
      <c r="M280" s="219"/>
      <c r="N280" s="219">
        <v>2000000</v>
      </c>
    </row>
    <row r="281" spans="1:14" ht="18" customHeight="1">
      <c r="A281" s="292"/>
      <c r="B281" s="287"/>
      <c r="C281" s="287"/>
      <c r="D281" s="219">
        <f t="shared" si="61"/>
        <v>1312843.61</v>
      </c>
      <c r="E281" s="219">
        <f>1312843.61-N281</f>
        <v>18117.12000000011</v>
      </c>
      <c r="F281" s="219">
        <f>E281</f>
        <v>18117.12000000011</v>
      </c>
      <c r="G281" s="219">
        <v>14798.52</v>
      </c>
      <c r="H281" s="219">
        <f>F281-G281</f>
        <v>3318.6000000001113</v>
      </c>
      <c r="I281" s="219"/>
      <c r="J281" s="219"/>
      <c r="K281" s="219"/>
      <c r="L281" s="219"/>
      <c r="M281" s="219"/>
      <c r="N281" s="219">
        <v>1294726.49</v>
      </c>
    </row>
    <row r="282" spans="1:14" ht="18" customHeight="1">
      <c r="A282" s="292"/>
      <c r="B282" s="294" t="s">
        <v>179</v>
      </c>
      <c r="C282" s="294" t="s">
        <v>555</v>
      </c>
      <c r="D282" s="219">
        <f t="shared" si="61"/>
        <v>76000</v>
      </c>
      <c r="E282" s="219" t="s">
        <v>588</v>
      </c>
      <c r="F282" s="219" t="s">
        <v>556</v>
      </c>
      <c r="G282" s="219"/>
      <c r="H282" s="219" t="s">
        <v>556</v>
      </c>
      <c r="I282" s="219">
        <v>71000</v>
      </c>
      <c r="J282" s="219"/>
      <c r="K282" s="219"/>
      <c r="L282" s="219"/>
      <c r="M282" s="219"/>
      <c r="N282" s="219"/>
    </row>
    <row r="283" spans="1:14" ht="18" customHeight="1">
      <c r="A283" s="292"/>
      <c r="B283" s="295"/>
      <c r="C283" s="295"/>
      <c r="D283" s="219">
        <f t="shared" si="61"/>
        <v>85000</v>
      </c>
      <c r="E283" s="219">
        <v>85000</v>
      </c>
      <c r="F283" s="219">
        <v>14000</v>
      </c>
      <c r="G283" s="219"/>
      <c r="H283" s="219">
        <v>14000</v>
      </c>
      <c r="I283" s="219">
        <v>71000</v>
      </c>
      <c r="J283" s="219"/>
      <c r="K283" s="219"/>
      <c r="L283" s="219"/>
      <c r="M283" s="219"/>
      <c r="N283" s="219"/>
    </row>
    <row r="284" spans="1:14" ht="18" customHeight="1">
      <c r="A284" s="292"/>
      <c r="B284" s="287"/>
      <c r="C284" s="287"/>
      <c r="D284" s="219">
        <f t="shared" si="61"/>
        <v>68175.58</v>
      </c>
      <c r="E284" s="219">
        <f>68175.58</f>
        <v>68175.58</v>
      </c>
      <c r="F284" s="219">
        <f>E284-I284</f>
        <v>10175.580000000002</v>
      </c>
      <c r="G284" s="219"/>
      <c r="H284" s="219">
        <f>F284</f>
        <v>10175.580000000002</v>
      </c>
      <c r="I284" s="219">
        <f>18000*2+22000</f>
        <v>58000</v>
      </c>
      <c r="J284" s="219"/>
      <c r="K284" s="219"/>
      <c r="L284" s="219"/>
      <c r="M284" s="219"/>
      <c r="N284" s="219"/>
    </row>
    <row r="285" spans="1:14" ht="18" customHeight="1">
      <c r="A285" s="292"/>
      <c r="B285" s="294" t="s">
        <v>557</v>
      </c>
      <c r="C285" s="294" t="s">
        <v>558</v>
      </c>
      <c r="D285" s="219">
        <f t="shared" si="61"/>
        <v>34500</v>
      </c>
      <c r="E285" s="219" t="s">
        <v>559</v>
      </c>
      <c r="F285" s="219"/>
      <c r="G285" s="219"/>
      <c r="H285" s="219"/>
      <c r="I285" s="219">
        <v>34500</v>
      </c>
      <c r="J285" s="219"/>
      <c r="K285" s="219"/>
      <c r="L285" s="219"/>
      <c r="M285" s="219"/>
      <c r="N285" s="219"/>
    </row>
    <row r="286" spans="1:14" ht="18" customHeight="1">
      <c r="A286" s="292"/>
      <c r="B286" s="295"/>
      <c r="C286" s="295"/>
      <c r="D286" s="219">
        <f t="shared" si="61"/>
        <v>96700</v>
      </c>
      <c r="E286" s="219">
        <v>96700</v>
      </c>
      <c r="F286" s="219">
        <v>7000</v>
      </c>
      <c r="G286" s="219"/>
      <c r="H286" s="219">
        <v>7000</v>
      </c>
      <c r="I286" s="219">
        <v>34500</v>
      </c>
      <c r="J286" s="219"/>
      <c r="K286" s="219">
        <v>55200</v>
      </c>
      <c r="L286" s="219"/>
      <c r="M286" s="219"/>
      <c r="N286" s="219"/>
    </row>
    <row r="287" spans="1:14" ht="18" customHeight="1">
      <c r="A287" s="293"/>
      <c r="B287" s="287"/>
      <c r="C287" s="287"/>
      <c r="D287" s="219">
        <f t="shared" si="61"/>
        <v>48683.33</v>
      </c>
      <c r="E287" s="219">
        <v>48683.33</v>
      </c>
      <c r="F287" s="219">
        <f>E287-I287-K287</f>
        <v>2863.529999999999</v>
      </c>
      <c r="G287" s="219"/>
      <c r="H287" s="219">
        <f>F287</f>
        <v>2863.529999999999</v>
      </c>
      <c r="I287" s="219">
        <f>8000</f>
        <v>8000</v>
      </c>
      <c r="J287" s="219"/>
      <c r="K287" s="219">
        <f>975+325+147.22+49.08+23.88+7.97+30847.91+5443.74</f>
        <v>37819.8</v>
      </c>
      <c r="L287" s="219"/>
      <c r="M287" s="219"/>
      <c r="N287" s="219"/>
    </row>
    <row r="288" spans="1:14" ht="18" customHeight="1">
      <c r="A288" s="285" t="s">
        <v>663</v>
      </c>
      <c r="B288" s="285"/>
      <c r="C288" s="285"/>
      <c r="D288" s="221">
        <f>D12+D24+D30+D39+D57+D66+D72+D81+D102+D114+D132+D138+D147+D177+D189+D219+D225+D237+D276+D261+D171</f>
        <v>57190440</v>
      </c>
      <c r="E288" s="221">
        <f aca="true" t="shared" si="62" ref="E288:N288">E12+E24+E30+E39+E57+E66+E72+E81+E102+E114+E132+E138+E147+E177+E189+E219+E225+E237+E276+E261+E171</f>
        <v>17296278.6</v>
      </c>
      <c r="F288" s="221">
        <f t="shared" si="62"/>
        <v>13822308.59</v>
      </c>
      <c r="G288" s="221">
        <f t="shared" si="62"/>
        <v>5479127</v>
      </c>
      <c r="H288" s="221">
        <f t="shared" si="62"/>
        <v>8343181.59</v>
      </c>
      <c r="I288" s="221">
        <f t="shared" si="62"/>
        <v>641490.09</v>
      </c>
      <c r="J288" s="221">
        <f t="shared" si="62"/>
        <v>2419214</v>
      </c>
      <c r="K288" s="221">
        <f t="shared" si="62"/>
        <v>413265.92</v>
      </c>
      <c r="L288" s="221">
        <f t="shared" si="62"/>
        <v>0</v>
      </c>
      <c r="M288" s="221">
        <f t="shared" si="62"/>
        <v>0</v>
      </c>
      <c r="N288" s="221">
        <f t="shared" si="62"/>
        <v>39894161.4</v>
      </c>
    </row>
    <row r="289" spans="1:14" ht="18" customHeight="1">
      <c r="A289" s="285" t="s">
        <v>632</v>
      </c>
      <c r="B289" s="285"/>
      <c r="C289" s="285"/>
      <c r="D289" s="221">
        <f aca="true" t="shared" si="63" ref="D289:N290">D13+D25+D31+D40+D58+D67+D73+D82+D103+D115+D133+D139+D148+D178+D190+D220+D226+D238+D277+D262+D172</f>
        <v>48459878.769999996</v>
      </c>
      <c r="E289" s="221">
        <f t="shared" si="63"/>
        <v>16460428.330000002</v>
      </c>
      <c r="F289" s="221">
        <f t="shared" si="63"/>
        <v>12594204.780000001</v>
      </c>
      <c r="G289" s="221">
        <f t="shared" si="63"/>
        <v>5590324.46</v>
      </c>
      <c r="H289" s="221">
        <f t="shared" si="63"/>
        <v>7003880.32</v>
      </c>
      <c r="I289" s="221">
        <f t="shared" si="63"/>
        <v>688090.5</v>
      </c>
      <c r="J289" s="221">
        <f t="shared" si="63"/>
        <v>2746621.9099999997</v>
      </c>
      <c r="K289" s="221">
        <f t="shared" si="63"/>
        <v>431511.14</v>
      </c>
      <c r="L289" s="221">
        <f t="shared" si="63"/>
        <v>0</v>
      </c>
      <c r="M289" s="221">
        <f t="shared" si="63"/>
        <v>0</v>
      </c>
      <c r="N289" s="221">
        <f t="shared" si="63"/>
        <v>31999450.44</v>
      </c>
    </row>
    <row r="290" spans="1:14" ht="18" customHeight="1">
      <c r="A290" s="285" t="s">
        <v>633</v>
      </c>
      <c r="B290" s="285"/>
      <c r="C290" s="285"/>
      <c r="D290" s="221">
        <f t="shared" si="63"/>
        <v>42000920.29000001</v>
      </c>
      <c r="E290" s="221">
        <f t="shared" si="63"/>
        <v>14718122.36</v>
      </c>
      <c r="F290" s="221">
        <f t="shared" si="63"/>
        <v>11085585.640000004</v>
      </c>
      <c r="G290" s="221">
        <f t="shared" si="63"/>
        <v>5436556.319999999</v>
      </c>
      <c r="H290" s="221">
        <f t="shared" si="63"/>
        <v>5616129.99</v>
      </c>
      <c r="I290" s="221">
        <f t="shared" si="63"/>
        <v>622962.1</v>
      </c>
      <c r="J290" s="221">
        <f t="shared" si="63"/>
        <v>2663643.83</v>
      </c>
      <c r="K290" s="221">
        <f t="shared" si="63"/>
        <v>345930.79</v>
      </c>
      <c r="L290" s="221">
        <f t="shared" si="63"/>
        <v>0</v>
      </c>
      <c r="M290" s="221">
        <f t="shared" si="63"/>
        <v>0</v>
      </c>
      <c r="N290" s="221">
        <f t="shared" si="63"/>
        <v>27282797.929999992</v>
      </c>
    </row>
    <row r="291" spans="4:14" ht="18.75">
      <c r="D291" s="211">
        <v>57190440</v>
      </c>
      <c r="E291" s="211">
        <v>17296278.6</v>
      </c>
      <c r="F291" s="211">
        <v>13822308.59</v>
      </c>
      <c r="G291" s="211">
        <v>5479127</v>
      </c>
      <c r="H291" s="211">
        <v>8343181.59</v>
      </c>
      <c r="I291" s="211">
        <v>641490.09</v>
      </c>
      <c r="J291" s="211">
        <v>2419214</v>
      </c>
      <c r="K291" s="211">
        <v>413265.92</v>
      </c>
      <c r="L291" s="211">
        <v>0</v>
      </c>
      <c r="M291" s="211">
        <v>0</v>
      </c>
      <c r="N291" s="211">
        <v>39894161.4</v>
      </c>
    </row>
    <row r="292" spans="4:14" ht="18.75">
      <c r="D292" s="211">
        <v>48459878.77</v>
      </c>
      <c r="E292" s="211">
        <v>16460428.33</v>
      </c>
      <c r="F292" s="211">
        <v>12594204.78</v>
      </c>
      <c r="G292" s="211">
        <v>5590324.46</v>
      </c>
      <c r="H292" s="211">
        <v>7003880.32</v>
      </c>
      <c r="I292" s="211">
        <v>688090.5</v>
      </c>
      <c r="J292" s="211">
        <v>2746621.91</v>
      </c>
      <c r="K292" s="211">
        <v>431511.14</v>
      </c>
      <c r="L292" s="211">
        <v>0</v>
      </c>
      <c r="M292" s="211">
        <v>0</v>
      </c>
      <c r="N292" s="211">
        <v>31999450.44</v>
      </c>
    </row>
    <row r="293" spans="4:14" ht="18.75">
      <c r="D293" s="211">
        <v>42000920.29</v>
      </c>
      <c r="E293" s="211">
        <f>14619680.65+98441.71</f>
        <v>14718122.360000001</v>
      </c>
      <c r="F293" s="211"/>
      <c r="G293" s="211"/>
      <c r="H293" s="211"/>
      <c r="I293" s="211"/>
      <c r="J293" s="211"/>
      <c r="K293" s="211"/>
      <c r="L293" s="211"/>
      <c r="M293" s="211"/>
      <c r="N293" s="211">
        <v>27282797.93</v>
      </c>
    </row>
    <row r="294" spans="4:14" ht="18.75">
      <c r="D294" s="211">
        <f>D291-D288</f>
        <v>0</v>
      </c>
      <c r="E294" s="211">
        <f aca="true" t="shared" si="64" ref="E294:N294">E291-E288</f>
        <v>0</v>
      </c>
      <c r="F294" s="211">
        <f>F291-F288</f>
        <v>0</v>
      </c>
      <c r="G294" s="211">
        <f>G291-G288</f>
        <v>0</v>
      </c>
      <c r="H294" s="211">
        <f t="shared" si="64"/>
        <v>0</v>
      </c>
      <c r="I294" s="211">
        <f t="shared" si="64"/>
        <v>0</v>
      </c>
      <c r="J294" s="211">
        <f t="shared" si="64"/>
        <v>0</v>
      </c>
      <c r="K294" s="211">
        <f t="shared" si="64"/>
        <v>0</v>
      </c>
      <c r="L294" s="211">
        <f t="shared" si="64"/>
        <v>0</v>
      </c>
      <c r="M294" s="211">
        <f t="shared" si="64"/>
        <v>0</v>
      </c>
      <c r="N294" s="211">
        <f t="shared" si="64"/>
        <v>0</v>
      </c>
    </row>
    <row r="295" spans="4:14" ht="18.75">
      <c r="D295" s="211">
        <f aca="true" t="shared" si="65" ref="D295:M295">D292-D289</f>
        <v>0</v>
      </c>
      <c r="E295" s="211">
        <f t="shared" si="65"/>
        <v>0</v>
      </c>
      <c r="F295" s="211">
        <f t="shared" si="65"/>
        <v>0</v>
      </c>
      <c r="G295" s="211">
        <f t="shared" si="65"/>
        <v>0</v>
      </c>
      <c r="H295" s="211">
        <f t="shared" si="65"/>
        <v>0</v>
      </c>
      <c r="I295" s="211">
        <f t="shared" si="65"/>
        <v>0</v>
      </c>
      <c r="J295" s="211">
        <f t="shared" si="65"/>
        <v>0</v>
      </c>
      <c r="K295" s="211">
        <f t="shared" si="65"/>
        <v>0</v>
      </c>
      <c r="L295" s="211">
        <f t="shared" si="65"/>
        <v>0</v>
      </c>
      <c r="M295" s="211">
        <f t="shared" si="65"/>
        <v>0</v>
      </c>
      <c r="N295" s="211">
        <f>N292-N289</f>
        <v>0</v>
      </c>
    </row>
    <row r="296" spans="4:14" ht="18.75">
      <c r="D296" s="211">
        <f aca="true" t="shared" si="66" ref="D296:N296">D293-D290</f>
        <v>0</v>
      </c>
      <c r="E296" s="211">
        <f t="shared" si="66"/>
        <v>0</v>
      </c>
      <c r="F296" s="211">
        <f t="shared" si="66"/>
        <v>-11085585.640000004</v>
      </c>
      <c r="G296" s="211">
        <f t="shared" si="66"/>
        <v>-5436556.319999999</v>
      </c>
      <c r="H296" s="211">
        <f t="shared" si="66"/>
        <v>-5616129.99</v>
      </c>
      <c r="I296" s="211">
        <f t="shared" si="66"/>
        <v>-622962.1</v>
      </c>
      <c r="J296" s="211">
        <f t="shared" si="66"/>
        <v>-2663643.83</v>
      </c>
      <c r="K296" s="211">
        <f t="shared" si="66"/>
        <v>-345930.79</v>
      </c>
      <c r="L296" s="211">
        <f t="shared" si="66"/>
        <v>0</v>
      </c>
      <c r="M296" s="211">
        <f t="shared" si="66"/>
        <v>0</v>
      </c>
      <c r="N296" s="211">
        <f t="shared" si="66"/>
        <v>0</v>
      </c>
    </row>
    <row r="297" spans="4:14" ht="18.75"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</row>
    <row r="298" spans="4:14" ht="18.75">
      <c r="D298" s="222">
        <f>41680.55+41994.9+7480.21+7355.39</f>
        <v>98511.05000000002</v>
      </c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</row>
    <row r="299" spans="4:14" ht="18.75"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</row>
    <row r="300" spans="4:14" ht="18.75"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</row>
    <row r="301" spans="4:14" ht="18.75"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</row>
    <row r="302" spans="4:14" ht="18.75"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</row>
    <row r="303" spans="4:14" ht="18.75"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</row>
    <row r="304" spans="4:14" ht="18.75"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</row>
  </sheetData>
  <sheetProtection/>
  <mergeCells count="218">
    <mergeCell ref="C180:C182"/>
    <mergeCell ref="C183:C185"/>
    <mergeCell ref="A210:A218"/>
    <mergeCell ref="A102:A107"/>
    <mergeCell ref="A108:A113"/>
    <mergeCell ref="A147:A158"/>
    <mergeCell ref="A159:A170"/>
    <mergeCell ref="A189:A209"/>
    <mergeCell ref="A138:A146"/>
    <mergeCell ref="A114:A131"/>
    <mergeCell ref="B165:B167"/>
    <mergeCell ref="B168:B170"/>
    <mergeCell ref="A289:C289"/>
    <mergeCell ref="A290:C290"/>
    <mergeCell ref="A177:A188"/>
    <mergeCell ref="B177:B179"/>
    <mergeCell ref="B180:B182"/>
    <mergeCell ref="B183:B185"/>
    <mergeCell ref="B186:B188"/>
    <mergeCell ref="C177:C179"/>
    <mergeCell ref="C153:C155"/>
    <mergeCell ref="C156:C158"/>
    <mergeCell ref="C186:C188"/>
    <mergeCell ref="C165:C167"/>
    <mergeCell ref="C168:C170"/>
    <mergeCell ref="A171:A176"/>
    <mergeCell ref="B171:B173"/>
    <mergeCell ref="C171:C173"/>
    <mergeCell ref="B174:B176"/>
    <mergeCell ref="C174:C176"/>
    <mergeCell ref="C159:C161"/>
    <mergeCell ref="B147:B149"/>
    <mergeCell ref="C162:C164"/>
    <mergeCell ref="B156:B158"/>
    <mergeCell ref="B159:B161"/>
    <mergeCell ref="B162:B164"/>
    <mergeCell ref="B150:B152"/>
    <mergeCell ref="B153:B155"/>
    <mergeCell ref="C147:C149"/>
    <mergeCell ref="C150:C152"/>
    <mergeCell ref="B138:B140"/>
    <mergeCell ref="C138:C140"/>
    <mergeCell ref="C141:C143"/>
    <mergeCell ref="B141:B143"/>
    <mergeCell ref="B144:B146"/>
    <mergeCell ref="C144:C146"/>
    <mergeCell ref="B114:B116"/>
    <mergeCell ref="C114:C116"/>
    <mergeCell ref="A132:A137"/>
    <mergeCell ref="B132:B134"/>
    <mergeCell ref="C132:C134"/>
    <mergeCell ref="B135:B137"/>
    <mergeCell ref="C135:C137"/>
    <mergeCell ref="C123:C125"/>
    <mergeCell ref="B126:B128"/>
    <mergeCell ref="B129:B131"/>
    <mergeCell ref="C126:C128"/>
    <mergeCell ref="C129:C131"/>
    <mergeCell ref="B117:B119"/>
    <mergeCell ref="C117:C119"/>
    <mergeCell ref="B120:B122"/>
    <mergeCell ref="C120:C122"/>
    <mergeCell ref="B216:B218"/>
    <mergeCell ref="C198:C200"/>
    <mergeCell ref="B198:B200"/>
    <mergeCell ref="B195:B197"/>
    <mergeCell ref="C195:C197"/>
    <mergeCell ref="B201:B203"/>
    <mergeCell ref="C201:C203"/>
    <mergeCell ref="C213:C215"/>
    <mergeCell ref="C210:C212"/>
    <mergeCell ref="C207:C209"/>
    <mergeCell ref="C204:C206"/>
    <mergeCell ref="B204:B206"/>
    <mergeCell ref="B207:B209"/>
    <mergeCell ref="B210:B212"/>
    <mergeCell ref="B213:B215"/>
    <mergeCell ref="B192:B194"/>
    <mergeCell ref="C192:C194"/>
    <mergeCell ref="B189:B191"/>
    <mergeCell ref="C189:C191"/>
    <mergeCell ref="A219:A224"/>
    <mergeCell ref="B219:B221"/>
    <mergeCell ref="C219:C221"/>
    <mergeCell ref="C222:C224"/>
    <mergeCell ref="B222:B224"/>
    <mergeCell ref="C216:C218"/>
    <mergeCell ref="A225:A236"/>
    <mergeCell ref="B225:B227"/>
    <mergeCell ref="C225:C227"/>
    <mergeCell ref="B228:B230"/>
    <mergeCell ref="B231:B233"/>
    <mergeCell ref="B234:B236"/>
    <mergeCell ref="C231:C233"/>
    <mergeCell ref="C234:C236"/>
    <mergeCell ref="C228:C230"/>
    <mergeCell ref="C237:C239"/>
    <mergeCell ref="A237:A260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C258:C260"/>
    <mergeCell ref="C255:C257"/>
    <mergeCell ref="C252:C254"/>
    <mergeCell ref="C249:C251"/>
    <mergeCell ref="C246:C248"/>
    <mergeCell ref="C243:C245"/>
    <mergeCell ref="A261:A275"/>
    <mergeCell ref="B261:B263"/>
    <mergeCell ref="C261:C263"/>
    <mergeCell ref="B264:B266"/>
    <mergeCell ref="C264:C266"/>
    <mergeCell ref="B267:B269"/>
    <mergeCell ref="C267:C269"/>
    <mergeCell ref="B270:B272"/>
    <mergeCell ref="C270:C272"/>
    <mergeCell ref="A276:A287"/>
    <mergeCell ref="B276:B278"/>
    <mergeCell ref="B279:B281"/>
    <mergeCell ref="B282:B284"/>
    <mergeCell ref="B285:B287"/>
    <mergeCell ref="C276:C278"/>
    <mergeCell ref="C279:C281"/>
    <mergeCell ref="C282:C284"/>
    <mergeCell ref="C96:C98"/>
    <mergeCell ref="B93:B95"/>
    <mergeCell ref="C93:C95"/>
    <mergeCell ref="C285:C287"/>
    <mergeCell ref="B123:B125"/>
    <mergeCell ref="B99:B101"/>
    <mergeCell ref="C99:C101"/>
    <mergeCell ref="B273:B275"/>
    <mergeCell ref="C273:C275"/>
    <mergeCell ref="C240:C242"/>
    <mergeCell ref="A81:A101"/>
    <mergeCell ref="B81:B83"/>
    <mergeCell ref="C81:C83"/>
    <mergeCell ref="B84:B86"/>
    <mergeCell ref="B87:B89"/>
    <mergeCell ref="B90:B92"/>
    <mergeCell ref="B96:B98"/>
    <mergeCell ref="C84:C86"/>
    <mergeCell ref="C87:C89"/>
    <mergeCell ref="C90:C92"/>
    <mergeCell ref="C78:C80"/>
    <mergeCell ref="C75:C77"/>
    <mergeCell ref="B36:B38"/>
    <mergeCell ref="C36:C38"/>
    <mergeCell ref="C48:C50"/>
    <mergeCell ref="C45:C47"/>
    <mergeCell ref="C42:C44"/>
    <mergeCell ref="A66:A71"/>
    <mergeCell ref="B66:B68"/>
    <mergeCell ref="C66:C68"/>
    <mergeCell ref="B69:B71"/>
    <mergeCell ref="C69:C71"/>
    <mergeCell ref="B72:B74"/>
    <mergeCell ref="C72:C74"/>
    <mergeCell ref="A72:A80"/>
    <mergeCell ref="B75:B77"/>
    <mergeCell ref="B78:B80"/>
    <mergeCell ref="A57:A65"/>
    <mergeCell ref="B57:B59"/>
    <mergeCell ref="C57:C59"/>
    <mergeCell ref="B60:B62"/>
    <mergeCell ref="C60:C62"/>
    <mergeCell ref="B63:B65"/>
    <mergeCell ref="C63:C65"/>
    <mergeCell ref="A39:A56"/>
    <mergeCell ref="B39:B41"/>
    <mergeCell ref="C39:C41"/>
    <mergeCell ref="B42:B44"/>
    <mergeCell ref="B45:B47"/>
    <mergeCell ref="B48:B50"/>
    <mergeCell ref="B51:B53"/>
    <mergeCell ref="B54:B56"/>
    <mergeCell ref="C54:C56"/>
    <mergeCell ref="C51:C53"/>
    <mergeCell ref="A24:A29"/>
    <mergeCell ref="B24:B26"/>
    <mergeCell ref="C24:C26"/>
    <mergeCell ref="B27:B29"/>
    <mergeCell ref="C27:C29"/>
    <mergeCell ref="A30:A35"/>
    <mergeCell ref="B30:B32"/>
    <mergeCell ref="C30:C32"/>
    <mergeCell ref="C33:C35"/>
    <mergeCell ref="B33:B35"/>
    <mergeCell ref="A12:A23"/>
    <mergeCell ref="B15:B17"/>
    <mergeCell ref="B18:B20"/>
    <mergeCell ref="B21:B23"/>
    <mergeCell ref="C15:C17"/>
    <mergeCell ref="C12:C14"/>
    <mergeCell ref="B12:B14"/>
    <mergeCell ref="C18:C20"/>
    <mergeCell ref="C21:C23"/>
    <mergeCell ref="M8:M10"/>
    <mergeCell ref="A288:C288"/>
    <mergeCell ref="E6:N6"/>
    <mergeCell ref="E7:E10"/>
    <mergeCell ref="F7:M7"/>
    <mergeCell ref="N7:N10"/>
    <mergeCell ref="F8:F10"/>
    <mergeCell ref="G8:H9"/>
    <mergeCell ref="I8:I10"/>
    <mergeCell ref="J8:J10"/>
    <mergeCell ref="K8:K10"/>
    <mergeCell ref="L8:L10"/>
    <mergeCell ref="A6:A10"/>
    <mergeCell ref="B6:B10"/>
    <mergeCell ref="C6:C10"/>
    <mergeCell ref="D6:D10"/>
  </mergeCells>
  <printOptions/>
  <pageMargins left="0.7480314960629921" right="0.7480314960629921" top="0.8267716535433072" bottom="0.984251968503937" header="0.5118110236220472" footer="0.5118110236220472"/>
  <pageSetup firstPageNumber="1" useFirstPageNumber="1" fitToHeight="6" fitToWidth="1" horizontalDpi="600" verticalDpi="600" orientation="landscape" paperSize="9" scale="44" r:id="rId3"/>
  <headerFooter alignWithMargins="0">
    <oddFooter>&amp;CStrona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13" bestFit="1" customWidth="1"/>
    <col min="2" max="2" width="40.140625" style="13" bestFit="1" customWidth="1"/>
    <col min="3" max="3" width="16.8515625" style="13" customWidth="1"/>
    <col min="4" max="4" width="13.421875" style="13" customWidth="1"/>
    <col min="5" max="5" width="14.00390625" style="13" customWidth="1"/>
    <col min="6" max="6" width="12.57421875" style="13" customWidth="1"/>
    <col min="7" max="16384" width="9.140625" style="13" customWidth="1"/>
  </cols>
  <sheetData>
    <row r="1" ht="12.75">
      <c r="F1" s="14" t="s">
        <v>135</v>
      </c>
    </row>
    <row r="2" spans="1:6" ht="18.75">
      <c r="A2" s="316"/>
      <c r="B2" s="316"/>
      <c r="F2" s="102" t="s">
        <v>662</v>
      </c>
    </row>
    <row r="3" spans="1:6" ht="18.75">
      <c r="A3" s="316" t="s">
        <v>666</v>
      </c>
      <c r="B3" s="316"/>
      <c r="C3" s="316"/>
      <c r="D3" s="316"/>
      <c r="E3" s="316"/>
      <c r="F3" s="316"/>
    </row>
    <row r="4" spans="1:6" ht="18.75">
      <c r="A4" s="316" t="s">
        <v>665</v>
      </c>
      <c r="B4" s="316"/>
      <c r="C4" s="316"/>
      <c r="D4" s="316"/>
      <c r="E4" s="316"/>
      <c r="F4" s="316"/>
    </row>
    <row r="6" ht="12.75" customHeight="1">
      <c r="F6" s="32" t="s">
        <v>84</v>
      </c>
    </row>
    <row r="7" spans="1:6" ht="42" customHeight="1">
      <c r="A7" s="167" t="s">
        <v>96</v>
      </c>
      <c r="B7" s="167" t="s">
        <v>97</v>
      </c>
      <c r="C7" s="168" t="s">
        <v>98</v>
      </c>
      <c r="D7" s="168" t="s">
        <v>663</v>
      </c>
      <c r="E7" s="168" t="s">
        <v>664</v>
      </c>
      <c r="F7" s="168" t="s">
        <v>633</v>
      </c>
    </row>
    <row r="8" spans="1:6" s="59" customFormat="1" ht="10.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</row>
    <row r="9" spans="1:6" ht="18.75" customHeight="1">
      <c r="A9" s="315" t="s">
        <v>99</v>
      </c>
      <c r="B9" s="315"/>
      <c r="C9" s="33"/>
      <c r="D9" s="35">
        <f>SUM(D10:D17)</f>
        <v>17741796</v>
      </c>
      <c r="E9" s="35">
        <f>SUM(E10:E17)</f>
        <v>17947058.53</v>
      </c>
      <c r="F9" s="35">
        <f>SUM(F10:F17)</f>
        <v>17947058.53</v>
      </c>
    </row>
    <row r="10" spans="1:6" ht="18.75" customHeight="1">
      <c r="A10" s="47" t="s">
        <v>100</v>
      </c>
      <c r="B10" s="48" t="s">
        <v>101</v>
      </c>
      <c r="C10" s="47" t="s">
        <v>102</v>
      </c>
      <c r="D10" s="60">
        <v>0</v>
      </c>
      <c r="E10" s="60">
        <v>0</v>
      </c>
      <c r="F10" s="60">
        <v>0</v>
      </c>
    </row>
    <row r="11" spans="1:6" ht="18.75" customHeight="1">
      <c r="A11" s="49" t="s">
        <v>103</v>
      </c>
      <c r="B11" s="50" t="s">
        <v>104</v>
      </c>
      <c r="C11" s="49" t="s">
        <v>102</v>
      </c>
      <c r="D11" s="61">
        <v>0</v>
      </c>
      <c r="E11" s="61">
        <v>0</v>
      </c>
      <c r="F11" s="61">
        <v>0</v>
      </c>
    </row>
    <row r="12" spans="1:6" ht="25.5">
      <c r="A12" s="49" t="s">
        <v>105</v>
      </c>
      <c r="B12" s="51" t="s">
        <v>106</v>
      </c>
      <c r="C12" s="49" t="s">
        <v>107</v>
      </c>
      <c r="D12" s="61">
        <v>0</v>
      </c>
      <c r="E12" s="61">
        <v>0</v>
      </c>
      <c r="F12" s="61">
        <v>0</v>
      </c>
    </row>
    <row r="13" spans="1:6" ht="18.75" customHeight="1">
      <c r="A13" s="49" t="s">
        <v>108</v>
      </c>
      <c r="B13" s="50" t="s">
        <v>109</v>
      </c>
      <c r="C13" s="49" t="s">
        <v>110</v>
      </c>
      <c r="D13" s="61">
        <v>0</v>
      </c>
      <c r="E13" s="61">
        <v>0</v>
      </c>
      <c r="F13" s="61">
        <v>0</v>
      </c>
    </row>
    <row r="14" spans="1:6" ht="18.75" customHeight="1">
      <c r="A14" s="49" t="s">
        <v>111</v>
      </c>
      <c r="B14" s="50" t="s">
        <v>112</v>
      </c>
      <c r="C14" s="49" t="s">
        <v>113</v>
      </c>
      <c r="D14" s="61">
        <v>0</v>
      </c>
      <c r="E14" s="61">
        <v>0</v>
      </c>
      <c r="F14" s="61">
        <v>0</v>
      </c>
    </row>
    <row r="15" spans="1:6" ht="18.75" customHeight="1">
      <c r="A15" s="49" t="s">
        <v>114</v>
      </c>
      <c r="B15" s="50" t="s">
        <v>115</v>
      </c>
      <c r="C15" s="49" t="s">
        <v>116</v>
      </c>
      <c r="D15" s="61">
        <v>5041796</v>
      </c>
      <c r="E15" s="61">
        <v>5247058.53</v>
      </c>
      <c r="F15" s="61">
        <v>5247058.53</v>
      </c>
    </row>
    <row r="16" spans="1:6" ht="18.75" customHeight="1">
      <c r="A16" s="49" t="s">
        <v>117</v>
      </c>
      <c r="B16" s="50" t="s">
        <v>118</v>
      </c>
      <c r="C16" s="49" t="s">
        <v>119</v>
      </c>
      <c r="D16" s="61">
        <v>0</v>
      </c>
      <c r="E16" s="61">
        <v>0</v>
      </c>
      <c r="F16" s="61">
        <v>0</v>
      </c>
    </row>
    <row r="17" spans="1:6" ht="18.75" customHeight="1">
      <c r="A17" s="49" t="s">
        <v>120</v>
      </c>
      <c r="B17" s="52" t="s">
        <v>136</v>
      </c>
      <c r="C17" s="53" t="s">
        <v>130</v>
      </c>
      <c r="D17" s="62">
        <v>12700000</v>
      </c>
      <c r="E17" s="62">
        <v>12700000</v>
      </c>
      <c r="F17" s="62">
        <v>12700000</v>
      </c>
    </row>
    <row r="18" spans="1:6" ht="18.75" customHeight="1">
      <c r="A18" s="315" t="s">
        <v>121</v>
      </c>
      <c r="B18" s="315"/>
      <c r="C18" s="33"/>
      <c r="D18" s="35">
        <f>SUM(D19:D25)</f>
        <v>0</v>
      </c>
      <c r="E18" s="35">
        <f>SUM(E19:E25)</f>
        <v>2764000</v>
      </c>
      <c r="F18" s="35">
        <f>SUM(F19:F25)</f>
        <v>9000000</v>
      </c>
    </row>
    <row r="19" spans="1:6" ht="18.75" customHeight="1">
      <c r="A19" s="47" t="s">
        <v>100</v>
      </c>
      <c r="B19" s="48" t="s">
        <v>122</v>
      </c>
      <c r="C19" s="47" t="s">
        <v>123</v>
      </c>
      <c r="D19" s="60">
        <v>0</v>
      </c>
      <c r="E19" s="60">
        <v>0</v>
      </c>
      <c r="F19" s="60">
        <v>0</v>
      </c>
    </row>
    <row r="20" spans="1:6" ht="18.75" customHeight="1">
      <c r="A20" s="49" t="s">
        <v>103</v>
      </c>
      <c r="B20" s="50" t="s">
        <v>124</v>
      </c>
      <c r="C20" s="49" t="s">
        <v>123</v>
      </c>
      <c r="D20" s="61">
        <v>0</v>
      </c>
      <c r="E20" s="61">
        <v>0</v>
      </c>
      <c r="F20" s="61">
        <v>0</v>
      </c>
    </row>
    <row r="21" spans="1:6" ht="38.25">
      <c r="A21" s="49" t="s">
        <v>105</v>
      </c>
      <c r="B21" s="51" t="s">
        <v>125</v>
      </c>
      <c r="C21" s="49" t="s">
        <v>126</v>
      </c>
      <c r="D21" s="61">
        <v>0</v>
      </c>
      <c r="E21" s="61">
        <v>0</v>
      </c>
      <c r="F21" s="61">
        <v>0</v>
      </c>
    </row>
    <row r="22" spans="1:6" ht="18.75" customHeight="1">
      <c r="A22" s="49" t="s">
        <v>108</v>
      </c>
      <c r="B22" s="50" t="s">
        <v>127</v>
      </c>
      <c r="C22" s="49" t="s">
        <v>128</v>
      </c>
      <c r="D22" s="61">
        <v>0</v>
      </c>
      <c r="E22" s="61">
        <v>0</v>
      </c>
      <c r="F22" s="61">
        <v>0</v>
      </c>
    </row>
    <row r="23" spans="1:6" ht="18.75" customHeight="1">
      <c r="A23" s="49" t="s">
        <v>111</v>
      </c>
      <c r="B23" s="50" t="s">
        <v>129</v>
      </c>
      <c r="C23" s="49" t="s">
        <v>130</v>
      </c>
      <c r="D23" s="61">
        <v>0</v>
      </c>
      <c r="E23" s="61">
        <v>2764000</v>
      </c>
      <c r="F23" s="61">
        <v>9000000</v>
      </c>
    </row>
    <row r="24" spans="1:6" ht="18.75" customHeight="1">
      <c r="A24" s="49" t="s">
        <v>114</v>
      </c>
      <c r="B24" s="50" t="s">
        <v>131</v>
      </c>
      <c r="C24" s="49" t="s">
        <v>132</v>
      </c>
      <c r="D24" s="61">
        <v>0</v>
      </c>
      <c r="E24" s="61">
        <v>0</v>
      </c>
      <c r="F24" s="61">
        <v>0</v>
      </c>
    </row>
    <row r="25" spans="1:6" ht="18.75" customHeight="1">
      <c r="A25" s="53" t="s">
        <v>117</v>
      </c>
      <c r="B25" s="52" t="s">
        <v>133</v>
      </c>
      <c r="C25" s="53" t="s">
        <v>134</v>
      </c>
      <c r="D25" s="62">
        <v>0</v>
      </c>
      <c r="E25" s="62">
        <v>0</v>
      </c>
      <c r="F25" s="62">
        <v>0</v>
      </c>
    </row>
    <row r="26" spans="1:4" ht="15" customHeight="1">
      <c r="A26" s="54"/>
      <c r="B26" s="55"/>
      <c r="C26" s="55"/>
      <c r="D26" s="55"/>
    </row>
    <row r="27" spans="1:4" ht="12.75">
      <c r="A27" s="56"/>
      <c r="B27" s="57"/>
      <c r="C27" s="57"/>
      <c r="D27" s="57"/>
    </row>
  </sheetData>
  <sheetProtection/>
  <mergeCells count="5">
    <mergeCell ref="A9:B9"/>
    <mergeCell ref="A18:B18"/>
    <mergeCell ref="A2:B2"/>
    <mergeCell ref="A4:F4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rstPageNumber="9" useFirstPageNumber="1"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4">
      <selection activeCell="B32" sqref="A32:IV34"/>
    </sheetView>
  </sheetViews>
  <sheetFormatPr defaultColWidth="9.140625" defaultRowHeight="12.75"/>
  <cols>
    <col min="1" max="1" width="9.140625" style="15" customWidth="1"/>
    <col min="2" max="2" width="62.421875" style="15" customWidth="1"/>
    <col min="3" max="3" width="16.28125" style="15" customWidth="1"/>
    <col min="4" max="6" width="13.140625" style="15" customWidth="1"/>
    <col min="7" max="7" width="12.57421875" style="15" customWidth="1"/>
    <col min="8" max="8" width="11.57421875" style="15" customWidth="1"/>
    <col min="9" max="9" width="13.140625" style="15" customWidth="1"/>
    <col min="10" max="10" width="12.00390625" style="15" customWidth="1"/>
    <col min="11" max="11" width="9.28125" style="15" customWidth="1"/>
    <col min="12" max="12" width="10.140625" style="15" bestFit="1" customWidth="1"/>
    <col min="13" max="16384" width="9.140625" style="15" customWidth="1"/>
  </cols>
  <sheetData>
    <row r="1" spans="1:11" ht="18.75">
      <c r="A1" s="317" t="s">
        <v>48</v>
      </c>
      <c r="B1" s="317"/>
      <c r="C1" s="317"/>
      <c r="D1" s="317"/>
      <c r="E1" s="317"/>
      <c r="F1" s="317"/>
      <c r="G1" s="317"/>
      <c r="H1" s="13"/>
      <c r="I1" s="13"/>
      <c r="J1" s="13"/>
      <c r="K1" s="14" t="s">
        <v>49</v>
      </c>
    </row>
    <row r="2" spans="1:11" ht="18.75">
      <c r="A2" s="318" t="s">
        <v>95</v>
      </c>
      <c r="B2" s="318"/>
      <c r="C2" s="318"/>
      <c r="D2" s="318"/>
      <c r="E2" s="318"/>
      <c r="F2" s="318"/>
      <c r="G2" s="318"/>
      <c r="H2" s="16"/>
      <c r="I2" s="16"/>
      <c r="J2" s="16"/>
      <c r="K2" s="102" t="s">
        <v>662</v>
      </c>
    </row>
    <row r="3" spans="1:11" ht="18.75">
      <c r="A3" s="317" t="s">
        <v>50</v>
      </c>
      <c r="B3" s="317"/>
      <c r="C3" s="317"/>
      <c r="D3" s="317"/>
      <c r="E3" s="317"/>
      <c r="F3" s="317"/>
      <c r="G3" s="317"/>
      <c r="H3" s="18"/>
      <c r="I3" s="18"/>
      <c r="J3" s="18"/>
      <c r="K3" s="14"/>
    </row>
    <row r="4" spans="2:11" ht="12.75">
      <c r="B4" s="19"/>
      <c r="C4" s="19"/>
      <c r="D4" s="319"/>
      <c r="E4" s="319"/>
      <c r="K4" s="14"/>
    </row>
    <row r="5" spans="2:5" ht="12.75">
      <c r="B5" s="19"/>
      <c r="C5" s="19"/>
      <c r="D5" s="20"/>
      <c r="E5" s="20"/>
    </row>
    <row r="6" spans="1:11" ht="12.75">
      <c r="A6" s="327" t="s">
        <v>667</v>
      </c>
      <c r="B6" s="327" t="s">
        <v>51</v>
      </c>
      <c r="C6" s="147"/>
      <c r="D6" s="327" t="s">
        <v>52</v>
      </c>
      <c r="E6" s="327" t="s">
        <v>53</v>
      </c>
      <c r="F6" s="24" t="s">
        <v>54</v>
      </c>
      <c r="G6" s="25"/>
      <c r="H6" s="25"/>
      <c r="I6" s="25"/>
      <c r="J6" s="25"/>
      <c r="K6" s="26"/>
    </row>
    <row r="7" spans="1:11" ht="12.75">
      <c r="A7" s="328"/>
      <c r="B7" s="328"/>
      <c r="C7" s="148"/>
      <c r="D7" s="328"/>
      <c r="E7" s="328"/>
      <c r="F7" s="331" t="s">
        <v>55</v>
      </c>
      <c r="G7" s="27" t="s">
        <v>56</v>
      </c>
      <c r="H7" s="28"/>
      <c r="I7" s="28"/>
      <c r="J7" s="28"/>
      <c r="K7" s="331" t="s">
        <v>57</v>
      </c>
    </row>
    <row r="8" spans="1:11" ht="12.75">
      <c r="A8" s="328"/>
      <c r="B8" s="328"/>
      <c r="C8" s="148"/>
      <c r="D8" s="328"/>
      <c r="E8" s="328"/>
      <c r="F8" s="331"/>
      <c r="G8" s="327" t="s">
        <v>58</v>
      </c>
      <c r="H8" s="342"/>
      <c r="I8" s="343" t="s">
        <v>59</v>
      </c>
      <c r="J8" s="343" t="s">
        <v>60</v>
      </c>
      <c r="K8" s="331"/>
    </row>
    <row r="9" spans="1:11" ht="63.75">
      <c r="A9" s="329"/>
      <c r="B9" s="329"/>
      <c r="C9" s="149"/>
      <c r="D9" s="329"/>
      <c r="E9" s="329"/>
      <c r="F9" s="332"/>
      <c r="G9" s="29" t="s">
        <v>61</v>
      </c>
      <c r="H9" s="29" t="s">
        <v>62</v>
      </c>
      <c r="I9" s="332"/>
      <c r="J9" s="332"/>
      <c r="K9" s="332"/>
    </row>
    <row r="10" spans="1:11" s="31" customFormat="1" ht="11.25">
      <c r="A10" s="36" t="s">
        <v>63</v>
      </c>
      <c r="B10" s="36">
        <v>3</v>
      </c>
      <c r="C10" s="157"/>
      <c r="D10" s="36">
        <v>4</v>
      </c>
      <c r="E10" s="36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s="150" customFormat="1" ht="15.75" customHeight="1">
      <c r="A11" s="344" t="s">
        <v>172</v>
      </c>
      <c r="B11" s="339" t="s">
        <v>350</v>
      </c>
      <c r="C11" s="162" t="s">
        <v>242</v>
      </c>
      <c r="D11" s="155">
        <f>D14</f>
        <v>0</v>
      </c>
      <c r="E11" s="151">
        <f aca="true" t="shared" si="0" ref="E11:E35">F11+I11</f>
        <v>0</v>
      </c>
      <c r="F11" s="151">
        <f aca="true" t="shared" si="1" ref="F11:K11">F14</f>
        <v>0</v>
      </c>
      <c r="G11" s="151">
        <f t="shared" si="1"/>
        <v>0</v>
      </c>
      <c r="H11" s="151">
        <f t="shared" si="1"/>
        <v>0</v>
      </c>
      <c r="I11" s="151">
        <f t="shared" si="1"/>
        <v>0</v>
      </c>
      <c r="J11" s="151">
        <f t="shared" si="1"/>
        <v>0</v>
      </c>
      <c r="K11" s="152">
        <f t="shared" si="1"/>
        <v>0</v>
      </c>
    </row>
    <row r="12" spans="1:11" s="150" customFormat="1" ht="15.75" customHeight="1">
      <c r="A12" s="325" t="s">
        <v>65</v>
      </c>
      <c r="B12" s="340" t="s">
        <v>66</v>
      </c>
      <c r="C12" s="162" t="s">
        <v>632</v>
      </c>
      <c r="D12" s="155">
        <f aca="true" t="shared" si="2" ref="D12:K13">D15</f>
        <v>160509.67</v>
      </c>
      <c r="E12" s="151">
        <f t="shared" si="0"/>
        <v>160509.67</v>
      </c>
      <c r="F12" s="151">
        <f t="shared" si="2"/>
        <v>160509.67</v>
      </c>
      <c r="G12" s="151">
        <f t="shared" si="2"/>
        <v>2353.29</v>
      </c>
      <c r="H12" s="151">
        <f t="shared" si="2"/>
        <v>158256.38</v>
      </c>
      <c r="I12" s="151">
        <f t="shared" si="2"/>
        <v>0</v>
      </c>
      <c r="J12" s="151">
        <f t="shared" si="2"/>
        <v>0</v>
      </c>
      <c r="K12" s="152">
        <f t="shared" si="2"/>
        <v>0</v>
      </c>
    </row>
    <row r="13" spans="1:11" s="150" customFormat="1" ht="15.75" customHeight="1">
      <c r="A13" s="326" t="s">
        <v>65</v>
      </c>
      <c r="B13" s="341" t="s">
        <v>66</v>
      </c>
      <c r="C13" s="162" t="s">
        <v>633</v>
      </c>
      <c r="D13" s="155">
        <f t="shared" si="2"/>
        <v>160509.57</v>
      </c>
      <c r="E13" s="151">
        <f t="shared" si="0"/>
        <v>160509.67</v>
      </c>
      <c r="F13" s="151">
        <f t="shared" si="2"/>
        <v>160509.67</v>
      </c>
      <c r="G13" s="151">
        <f t="shared" si="2"/>
        <v>2353.29</v>
      </c>
      <c r="H13" s="151">
        <f t="shared" si="2"/>
        <v>153256.38</v>
      </c>
      <c r="I13" s="151">
        <f t="shared" si="2"/>
        <v>0</v>
      </c>
      <c r="J13" s="151">
        <f t="shared" si="2"/>
        <v>0</v>
      </c>
      <c r="K13" s="152">
        <f t="shared" si="2"/>
        <v>0</v>
      </c>
    </row>
    <row r="14" spans="1:11" s="21" customFormat="1" ht="15.75" customHeight="1">
      <c r="A14" s="345" t="s">
        <v>173</v>
      </c>
      <c r="B14" s="336" t="s">
        <v>355</v>
      </c>
      <c r="C14" s="158" t="s">
        <v>242</v>
      </c>
      <c r="D14" s="156">
        <v>0</v>
      </c>
      <c r="E14" s="22">
        <f t="shared" si="0"/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21" customFormat="1" ht="15.75" customHeight="1">
      <c r="A15" s="321"/>
      <c r="B15" s="337"/>
      <c r="C15" s="158" t="s">
        <v>632</v>
      </c>
      <c r="D15" s="156">
        <v>160509.67</v>
      </c>
      <c r="E15" s="22">
        <f t="shared" si="0"/>
        <v>160509.67</v>
      </c>
      <c r="F15" s="23">
        <v>160509.67</v>
      </c>
      <c r="G15" s="23">
        <v>2353.29</v>
      </c>
      <c r="H15" s="23">
        <v>158256.38</v>
      </c>
      <c r="I15" s="23">
        <v>0</v>
      </c>
      <c r="J15" s="23">
        <v>0</v>
      </c>
      <c r="K15" s="23">
        <v>0</v>
      </c>
    </row>
    <row r="16" spans="1:11" s="21" customFormat="1" ht="15.75" customHeight="1">
      <c r="A16" s="323"/>
      <c r="B16" s="338"/>
      <c r="C16" s="158" t="s">
        <v>633</v>
      </c>
      <c r="D16" s="156">
        <v>160509.57</v>
      </c>
      <c r="E16" s="22">
        <f t="shared" si="0"/>
        <v>160509.67</v>
      </c>
      <c r="F16" s="23">
        <v>160509.67</v>
      </c>
      <c r="G16" s="23">
        <v>2353.29</v>
      </c>
      <c r="H16" s="23">
        <v>153256.38</v>
      </c>
      <c r="I16" s="23">
        <v>0</v>
      </c>
      <c r="J16" s="23">
        <v>0</v>
      </c>
      <c r="K16" s="160">
        <v>0</v>
      </c>
    </row>
    <row r="17" spans="1:11" s="150" customFormat="1" ht="15.75" customHeight="1">
      <c r="A17" s="324" t="s">
        <v>65</v>
      </c>
      <c r="B17" s="339" t="s">
        <v>66</v>
      </c>
      <c r="C17" s="162" t="s">
        <v>242</v>
      </c>
      <c r="D17" s="155">
        <f>SUM(D20)+D23</f>
        <v>67800</v>
      </c>
      <c r="E17" s="151">
        <f aca="true" t="shared" si="3" ref="E17:K17">SUM(E20)+E23</f>
        <v>67800</v>
      </c>
      <c r="F17" s="151">
        <f t="shared" si="3"/>
        <v>67800</v>
      </c>
      <c r="G17" s="151">
        <f t="shared" si="3"/>
        <v>53000</v>
      </c>
      <c r="H17" s="151">
        <f t="shared" si="3"/>
        <v>14800</v>
      </c>
      <c r="I17" s="151">
        <f t="shared" si="3"/>
        <v>0</v>
      </c>
      <c r="J17" s="151">
        <f t="shared" si="3"/>
        <v>0</v>
      </c>
      <c r="K17" s="163">
        <f t="shared" si="3"/>
        <v>0</v>
      </c>
    </row>
    <row r="18" spans="1:11" s="150" customFormat="1" ht="15.75" customHeight="1">
      <c r="A18" s="325" t="s">
        <v>65</v>
      </c>
      <c r="B18" s="340" t="s">
        <v>66</v>
      </c>
      <c r="C18" s="162" t="s">
        <v>632</v>
      </c>
      <c r="D18" s="155">
        <f aca="true" t="shared" si="4" ref="D18:K19">SUM(D21)+D24</f>
        <v>81734</v>
      </c>
      <c r="E18" s="151">
        <f t="shared" si="4"/>
        <v>81734</v>
      </c>
      <c r="F18" s="151">
        <f t="shared" si="4"/>
        <v>74818.65</v>
      </c>
      <c r="G18" s="151">
        <f t="shared" si="4"/>
        <v>59502</v>
      </c>
      <c r="H18" s="151">
        <f t="shared" si="4"/>
        <v>15316.65</v>
      </c>
      <c r="I18" s="151">
        <f t="shared" si="4"/>
        <v>6915.35</v>
      </c>
      <c r="J18" s="151">
        <f t="shared" si="4"/>
        <v>0</v>
      </c>
      <c r="K18" s="163">
        <f t="shared" si="4"/>
        <v>0</v>
      </c>
    </row>
    <row r="19" spans="1:11" s="150" customFormat="1" ht="15.75" customHeight="1">
      <c r="A19" s="326" t="s">
        <v>65</v>
      </c>
      <c r="B19" s="341" t="s">
        <v>66</v>
      </c>
      <c r="C19" s="162" t="s">
        <v>633</v>
      </c>
      <c r="D19" s="155">
        <f t="shared" si="4"/>
        <v>81734</v>
      </c>
      <c r="E19" s="151">
        <f t="shared" si="4"/>
        <v>81734</v>
      </c>
      <c r="F19" s="151">
        <f t="shared" si="4"/>
        <v>74818.65</v>
      </c>
      <c r="G19" s="151">
        <f t="shared" si="4"/>
        <v>59502</v>
      </c>
      <c r="H19" s="151">
        <f t="shared" si="4"/>
        <v>15316.65</v>
      </c>
      <c r="I19" s="151">
        <f t="shared" si="4"/>
        <v>6915.35</v>
      </c>
      <c r="J19" s="151">
        <f t="shared" si="4"/>
        <v>0</v>
      </c>
      <c r="K19" s="163">
        <f t="shared" si="4"/>
        <v>0</v>
      </c>
    </row>
    <row r="20" spans="1:11" s="21" customFormat="1" ht="15.75" customHeight="1">
      <c r="A20" s="320" t="s">
        <v>68</v>
      </c>
      <c r="B20" s="336" t="s">
        <v>69</v>
      </c>
      <c r="C20" s="158" t="s">
        <v>242</v>
      </c>
      <c r="D20" s="156">
        <v>67800</v>
      </c>
      <c r="E20" s="22">
        <f t="shared" si="0"/>
        <v>67800</v>
      </c>
      <c r="F20" s="23">
        <v>67800</v>
      </c>
      <c r="G20" s="23">
        <v>53000</v>
      </c>
      <c r="H20" s="23">
        <v>14800</v>
      </c>
      <c r="I20" s="23">
        <v>0</v>
      </c>
      <c r="J20" s="23">
        <v>0</v>
      </c>
      <c r="K20" s="161">
        <v>0</v>
      </c>
    </row>
    <row r="21" spans="1:11" s="21" customFormat="1" ht="15.75" customHeight="1">
      <c r="A21" s="321"/>
      <c r="B21" s="337"/>
      <c r="C21" s="158" t="s">
        <v>632</v>
      </c>
      <c r="D21" s="156">
        <v>72800</v>
      </c>
      <c r="E21" s="22">
        <f t="shared" si="0"/>
        <v>72800</v>
      </c>
      <c r="F21" s="23">
        <v>72800</v>
      </c>
      <c r="G21" s="23">
        <v>58288.35</v>
      </c>
      <c r="H21" s="23">
        <v>14511.65</v>
      </c>
      <c r="I21" s="23">
        <v>0</v>
      </c>
      <c r="J21" s="23">
        <v>0</v>
      </c>
      <c r="K21" s="23">
        <v>0</v>
      </c>
    </row>
    <row r="22" spans="1:11" s="21" customFormat="1" ht="15.75" customHeight="1">
      <c r="A22" s="323"/>
      <c r="B22" s="338"/>
      <c r="C22" s="158" t="s">
        <v>633</v>
      </c>
      <c r="D22" s="156">
        <v>72800</v>
      </c>
      <c r="E22" s="22">
        <f t="shared" si="0"/>
        <v>72800</v>
      </c>
      <c r="F22" s="23">
        <v>72800</v>
      </c>
      <c r="G22" s="23">
        <v>58288.35</v>
      </c>
      <c r="H22" s="23">
        <v>14511.65</v>
      </c>
      <c r="I22" s="23">
        <v>0</v>
      </c>
      <c r="J22" s="23">
        <v>0</v>
      </c>
      <c r="K22" s="23">
        <v>0</v>
      </c>
    </row>
    <row r="23" spans="1:11" s="21" customFormat="1" ht="15.75" customHeight="1">
      <c r="A23" s="320">
        <v>75056</v>
      </c>
      <c r="B23" s="336" t="s">
        <v>668</v>
      </c>
      <c r="C23" s="158" t="s">
        <v>242</v>
      </c>
      <c r="D23" s="156">
        <v>0</v>
      </c>
      <c r="E23" s="22">
        <f>F23+I23</f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s="21" customFormat="1" ht="15.75" customHeight="1">
      <c r="A24" s="321"/>
      <c r="B24" s="337"/>
      <c r="C24" s="158" t="s">
        <v>632</v>
      </c>
      <c r="D24" s="156">
        <v>8934</v>
      </c>
      <c r="E24" s="22">
        <f>F24+I24</f>
        <v>8934</v>
      </c>
      <c r="F24" s="23">
        <v>2018.65</v>
      </c>
      <c r="G24" s="23">
        <v>1213.65</v>
      </c>
      <c r="H24" s="23">
        <v>805</v>
      </c>
      <c r="I24" s="23">
        <v>6915.35</v>
      </c>
      <c r="J24" s="23">
        <v>0</v>
      </c>
      <c r="K24" s="23">
        <v>0</v>
      </c>
    </row>
    <row r="25" spans="1:11" s="21" customFormat="1" ht="15.75" customHeight="1">
      <c r="A25" s="323"/>
      <c r="B25" s="338"/>
      <c r="C25" s="158" t="s">
        <v>633</v>
      </c>
      <c r="D25" s="156">
        <v>8934</v>
      </c>
      <c r="E25" s="22">
        <f>F25+I25</f>
        <v>8934</v>
      </c>
      <c r="F25" s="23">
        <v>2018.65</v>
      </c>
      <c r="G25" s="23">
        <v>1213.65</v>
      </c>
      <c r="H25" s="23">
        <v>805</v>
      </c>
      <c r="I25" s="23">
        <v>6915.35</v>
      </c>
      <c r="J25" s="23">
        <v>0</v>
      </c>
      <c r="K25" s="23">
        <v>0</v>
      </c>
    </row>
    <row r="26" spans="1:11" s="150" customFormat="1" ht="16.5" customHeight="1">
      <c r="A26" s="324">
        <v>751</v>
      </c>
      <c r="B26" s="339" t="s">
        <v>71</v>
      </c>
      <c r="C26" s="162" t="s">
        <v>242</v>
      </c>
      <c r="D26" s="155">
        <f>SUM(D29)+D32+D35</f>
        <v>840</v>
      </c>
      <c r="E26" s="151">
        <f t="shared" si="0"/>
        <v>840</v>
      </c>
      <c r="F26" s="151">
        <f aca="true" t="shared" si="5" ref="F26:K26">SUM(F29)+F32+F35</f>
        <v>840</v>
      </c>
      <c r="G26" s="151">
        <f t="shared" si="5"/>
        <v>383</v>
      </c>
      <c r="H26" s="151">
        <f t="shared" si="5"/>
        <v>457</v>
      </c>
      <c r="I26" s="151">
        <f t="shared" si="5"/>
        <v>0</v>
      </c>
      <c r="J26" s="151">
        <f t="shared" si="5"/>
        <v>0</v>
      </c>
      <c r="K26" s="152">
        <f t="shared" si="5"/>
        <v>0</v>
      </c>
    </row>
    <row r="27" spans="1:11" s="150" customFormat="1" ht="16.5" customHeight="1">
      <c r="A27" s="325">
        <f>A26</f>
        <v>751</v>
      </c>
      <c r="B27" s="340" t="str">
        <f>B26</f>
        <v>Urzędy naczelnych organów władzy państwowej, kontroli i ochrony prawa oraz sądownictwa</v>
      </c>
      <c r="C27" s="162" t="s">
        <v>632</v>
      </c>
      <c r="D27" s="155">
        <f aca="true" t="shared" si="6" ref="D27:K27">SUM(D30)+D33+D36</f>
        <v>31386</v>
      </c>
      <c r="E27" s="151">
        <f t="shared" si="0"/>
        <v>31386</v>
      </c>
      <c r="F27" s="151">
        <f t="shared" si="6"/>
        <v>14956</v>
      </c>
      <c r="G27" s="151">
        <f t="shared" si="6"/>
        <v>5893.84</v>
      </c>
      <c r="H27" s="151">
        <f t="shared" si="6"/>
        <v>9062.16</v>
      </c>
      <c r="I27" s="151">
        <f t="shared" si="6"/>
        <v>16430</v>
      </c>
      <c r="J27" s="151">
        <f t="shared" si="6"/>
        <v>0</v>
      </c>
      <c r="K27" s="152">
        <f t="shared" si="6"/>
        <v>0</v>
      </c>
    </row>
    <row r="28" spans="1:11" s="150" customFormat="1" ht="16.5" customHeight="1">
      <c r="A28" s="326">
        <f>A27</f>
        <v>751</v>
      </c>
      <c r="B28" s="341" t="str">
        <f>B27</f>
        <v>Urzędy naczelnych organów władzy państwowej, kontroli i ochrony prawa oraz sądownictwa</v>
      </c>
      <c r="C28" s="162" t="s">
        <v>633</v>
      </c>
      <c r="D28" s="155">
        <f aca="true" t="shared" si="7" ref="D28:K28">SUM(D31)+D34+D37</f>
        <v>22040</v>
      </c>
      <c r="E28" s="151">
        <f t="shared" si="0"/>
        <v>22040</v>
      </c>
      <c r="F28" s="151">
        <f t="shared" si="7"/>
        <v>12605</v>
      </c>
      <c r="G28" s="151">
        <f t="shared" si="7"/>
        <v>4813.84</v>
      </c>
      <c r="H28" s="151">
        <f t="shared" si="7"/>
        <v>7791.16</v>
      </c>
      <c r="I28" s="151">
        <f t="shared" si="7"/>
        <v>9435</v>
      </c>
      <c r="J28" s="151">
        <f t="shared" si="7"/>
        <v>0</v>
      </c>
      <c r="K28" s="152">
        <f t="shared" si="7"/>
        <v>0</v>
      </c>
    </row>
    <row r="29" spans="1:11" s="21" customFormat="1" ht="31.5" customHeight="1">
      <c r="A29" s="320">
        <v>75101</v>
      </c>
      <c r="B29" s="30" t="s">
        <v>74</v>
      </c>
      <c r="C29" s="158" t="s">
        <v>242</v>
      </c>
      <c r="D29" s="156">
        <v>840</v>
      </c>
      <c r="E29" s="22">
        <f t="shared" si="0"/>
        <v>840</v>
      </c>
      <c r="F29" s="23">
        <v>840</v>
      </c>
      <c r="G29" s="23">
        <v>383</v>
      </c>
      <c r="H29" s="23">
        <v>457</v>
      </c>
      <c r="I29" s="23">
        <v>0</v>
      </c>
      <c r="J29" s="23">
        <v>0</v>
      </c>
      <c r="K29" s="23">
        <v>0</v>
      </c>
    </row>
    <row r="30" spans="1:11" s="21" customFormat="1" ht="31.5" customHeight="1">
      <c r="A30" s="321"/>
      <c r="B30" s="30" t="str">
        <f>B29</f>
        <v>Urzędy naczelnych organów władzy państwowej, kontroli i ochrony prawa</v>
      </c>
      <c r="C30" s="158" t="s">
        <v>632</v>
      </c>
      <c r="D30" s="156">
        <v>840</v>
      </c>
      <c r="E30" s="22">
        <f t="shared" si="0"/>
        <v>840</v>
      </c>
      <c r="F30" s="23">
        <v>840</v>
      </c>
      <c r="G30" s="23">
        <f>48.32+320</f>
        <v>368.32</v>
      </c>
      <c r="H30" s="23">
        <v>471.68</v>
      </c>
      <c r="I30" s="23">
        <v>0</v>
      </c>
      <c r="J30" s="23">
        <v>0</v>
      </c>
      <c r="K30" s="23">
        <v>0</v>
      </c>
    </row>
    <row r="31" spans="1:11" s="21" customFormat="1" ht="31.5" customHeight="1">
      <c r="A31" s="323"/>
      <c r="B31" s="30" t="str">
        <f>B30</f>
        <v>Urzędy naczelnych organów władzy państwowej, kontroli i ochrony prawa</v>
      </c>
      <c r="C31" s="158" t="s">
        <v>633</v>
      </c>
      <c r="D31" s="156">
        <v>840</v>
      </c>
      <c r="E31" s="22">
        <f t="shared" si="0"/>
        <v>840</v>
      </c>
      <c r="F31" s="23">
        <v>840</v>
      </c>
      <c r="G31" s="23">
        <v>368.32</v>
      </c>
      <c r="H31" s="23">
        <v>471.68</v>
      </c>
      <c r="I31" s="23">
        <v>0</v>
      </c>
      <c r="J31" s="23">
        <v>0</v>
      </c>
      <c r="K31" s="23">
        <v>0</v>
      </c>
    </row>
    <row r="32" spans="1:11" s="21" customFormat="1" ht="24.75" customHeight="1">
      <c r="A32" s="320">
        <v>75107</v>
      </c>
      <c r="B32" s="30" t="s">
        <v>669</v>
      </c>
      <c r="C32" s="158" t="s">
        <v>242</v>
      </c>
      <c r="D32" s="156">
        <v>0</v>
      </c>
      <c r="E32" s="22">
        <f t="shared" si="0"/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2" s="21" customFormat="1" ht="24.75" customHeight="1">
      <c r="A33" s="321"/>
      <c r="B33" s="30" t="str">
        <f>B32</f>
        <v>Wybory Prezydenta Rzeczpospolitej Polskiej</v>
      </c>
      <c r="C33" s="158" t="s">
        <v>632</v>
      </c>
      <c r="D33" s="156">
        <v>10660</v>
      </c>
      <c r="E33" s="22">
        <f t="shared" si="0"/>
        <v>10660</v>
      </c>
      <c r="F33" s="23">
        <v>5530</v>
      </c>
      <c r="G33" s="23">
        <v>1831.52</v>
      </c>
      <c r="H33" s="23">
        <v>3698.48</v>
      </c>
      <c r="I33" s="23">
        <v>5130</v>
      </c>
      <c r="J33" s="23">
        <v>0</v>
      </c>
      <c r="K33" s="23">
        <v>0</v>
      </c>
      <c r="L33" s="159"/>
    </row>
    <row r="34" spans="1:12" s="21" customFormat="1" ht="24.75" customHeight="1">
      <c r="A34" s="322"/>
      <c r="B34" s="179" t="str">
        <f>B33</f>
        <v>Wybory Prezydenta Rzeczpospolitej Polskiej</v>
      </c>
      <c r="C34" s="158" t="s">
        <v>633</v>
      </c>
      <c r="D34" s="180">
        <v>10525</v>
      </c>
      <c r="E34" s="181">
        <f t="shared" si="0"/>
        <v>10525</v>
      </c>
      <c r="F34" s="182">
        <f>G34+H34</f>
        <v>5530</v>
      </c>
      <c r="G34" s="182">
        <f>237.04+24.7+1569.78</f>
        <v>1831.52</v>
      </c>
      <c r="H34" s="182">
        <v>3698.48</v>
      </c>
      <c r="I34" s="182">
        <v>4995</v>
      </c>
      <c r="J34" s="182">
        <v>0</v>
      </c>
      <c r="K34" s="182">
        <v>0</v>
      </c>
      <c r="L34" s="159"/>
    </row>
    <row r="35" spans="1:11" s="21" customFormat="1" ht="49.5" customHeight="1">
      <c r="A35" s="321">
        <v>75109</v>
      </c>
      <c r="B35" s="175" t="s">
        <v>670</v>
      </c>
      <c r="C35" s="176" t="s">
        <v>242</v>
      </c>
      <c r="D35" s="177">
        <v>0</v>
      </c>
      <c r="E35" s="178">
        <f t="shared" si="0"/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</row>
    <row r="36" spans="1:11" s="21" customFormat="1" ht="49.5" customHeight="1">
      <c r="A36" s="321"/>
      <c r="B36" s="30" t="str">
        <f>B35</f>
        <v>Wybory do rad gmin, rad powiatów i sejmików województw, wybory wójtów, burmistrzów i prezydentów miast oraz referenda gminne, powiatowe i wojewódzkie</v>
      </c>
      <c r="C36" s="158" t="s">
        <v>632</v>
      </c>
      <c r="D36" s="156">
        <v>19886</v>
      </c>
      <c r="E36" s="22">
        <f>F36+I36</f>
        <v>19886</v>
      </c>
      <c r="F36" s="23">
        <v>8586</v>
      </c>
      <c r="G36" s="23">
        <v>3694</v>
      </c>
      <c r="H36" s="23">
        <v>4892</v>
      </c>
      <c r="I36" s="23">
        <v>11300</v>
      </c>
      <c r="J36" s="23">
        <v>0</v>
      </c>
      <c r="K36" s="23">
        <v>0</v>
      </c>
    </row>
    <row r="37" spans="1:11" s="21" customFormat="1" ht="49.5" customHeight="1">
      <c r="A37" s="323"/>
      <c r="B37" s="30" t="str">
        <f>B36</f>
        <v>Wybory do rad gmin, rad powiatów i sejmików województw, wybory wójtów, burmistrzów i prezydentów miast oraz referenda gminne, powiatowe i wojewódzkie</v>
      </c>
      <c r="C37" s="158" t="s">
        <v>633</v>
      </c>
      <c r="D37" s="156">
        <v>10675</v>
      </c>
      <c r="E37" s="22">
        <f>F37+I37</f>
        <v>10675</v>
      </c>
      <c r="F37" s="23">
        <f>G37+H37</f>
        <v>6235</v>
      </c>
      <c r="G37" s="23">
        <f>337.58+40.75+2235.67</f>
        <v>2614</v>
      </c>
      <c r="H37" s="23">
        <f>1614.93+1772.04+234.03</f>
        <v>3621.0000000000005</v>
      </c>
      <c r="I37" s="23">
        <v>4440</v>
      </c>
      <c r="J37" s="23">
        <v>0</v>
      </c>
      <c r="K37" s="160">
        <v>0</v>
      </c>
    </row>
    <row r="38" spans="1:11" s="21" customFormat="1" ht="15.75" customHeight="1">
      <c r="A38" s="324" t="s">
        <v>75</v>
      </c>
      <c r="B38" s="339" t="s">
        <v>76</v>
      </c>
      <c r="C38" s="162" t="s">
        <v>242</v>
      </c>
      <c r="D38" s="155">
        <f>D41+D44</f>
        <v>1777000</v>
      </c>
      <c r="E38" s="151">
        <f aca="true" t="shared" si="8" ref="E38:K38">E41+E44</f>
        <v>1777000</v>
      </c>
      <c r="F38" s="151">
        <f t="shared" si="8"/>
        <v>1777000</v>
      </c>
      <c r="G38" s="151">
        <f t="shared" si="8"/>
        <v>90219</v>
      </c>
      <c r="H38" s="151">
        <f t="shared" si="8"/>
        <v>5851</v>
      </c>
      <c r="I38" s="151">
        <f t="shared" si="8"/>
        <v>1680930</v>
      </c>
      <c r="J38" s="151">
        <f t="shared" si="8"/>
        <v>0</v>
      </c>
      <c r="K38" s="163">
        <f t="shared" si="8"/>
        <v>0</v>
      </c>
    </row>
    <row r="39" spans="1:11" s="150" customFormat="1" ht="15.75" customHeight="1">
      <c r="A39" s="325"/>
      <c r="B39" s="340"/>
      <c r="C39" s="162" t="s">
        <v>632</v>
      </c>
      <c r="D39" s="155">
        <f aca="true" t="shared" si="9" ref="D39:K40">D42+D45</f>
        <v>1967956</v>
      </c>
      <c r="E39" s="151">
        <f t="shared" si="9"/>
        <v>1967956</v>
      </c>
      <c r="F39" s="151">
        <f t="shared" si="9"/>
        <v>118576</v>
      </c>
      <c r="G39" s="151">
        <f t="shared" si="9"/>
        <v>103882.87</v>
      </c>
      <c r="H39" s="151">
        <f t="shared" si="9"/>
        <v>14693.13</v>
      </c>
      <c r="I39" s="151">
        <f t="shared" si="9"/>
        <v>1849380</v>
      </c>
      <c r="J39" s="151">
        <f t="shared" si="9"/>
        <v>0</v>
      </c>
      <c r="K39" s="163">
        <f t="shared" si="9"/>
        <v>0</v>
      </c>
    </row>
    <row r="40" spans="1:11" s="150" customFormat="1" ht="15.75" customHeight="1">
      <c r="A40" s="326"/>
      <c r="B40" s="341"/>
      <c r="C40" s="162" t="s">
        <v>633</v>
      </c>
      <c r="D40" s="155">
        <f t="shared" si="9"/>
        <v>1947653.7100000002</v>
      </c>
      <c r="E40" s="151">
        <f t="shared" si="9"/>
        <v>1947653.71</v>
      </c>
      <c r="F40" s="151">
        <f t="shared" si="9"/>
        <v>102913.13999999998</v>
      </c>
      <c r="G40" s="151">
        <f t="shared" si="9"/>
        <v>88220.01</v>
      </c>
      <c r="H40" s="151">
        <f t="shared" si="9"/>
        <v>14693.129999999997</v>
      </c>
      <c r="I40" s="151">
        <f t="shared" si="9"/>
        <v>1844740.57</v>
      </c>
      <c r="J40" s="151">
        <f t="shared" si="9"/>
        <v>0</v>
      </c>
      <c r="K40" s="163">
        <f t="shared" si="9"/>
        <v>0</v>
      </c>
    </row>
    <row r="41" spans="1:11" s="21" customFormat="1" ht="24.75" customHeight="1">
      <c r="A41" s="320">
        <v>85212</v>
      </c>
      <c r="B41" s="336" t="s">
        <v>78</v>
      </c>
      <c r="C41" s="158" t="s">
        <v>242</v>
      </c>
      <c r="D41" s="156" t="s">
        <v>79</v>
      </c>
      <c r="E41" s="22">
        <v>1769000</v>
      </c>
      <c r="F41" s="23">
        <v>1769000</v>
      </c>
      <c r="G41" s="23">
        <v>82219</v>
      </c>
      <c r="H41" s="23">
        <v>5851</v>
      </c>
      <c r="I41" s="23">
        <v>1680930</v>
      </c>
      <c r="J41" s="23">
        <v>0</v>
      </c>
      <c r="K41" s="161">
        <v>0</v>
      </c>
    </row>
    <row r="42" spans="1:11" s="21" customFormat="1" ht="24.75" customHeight="1">
      <c r="A42" s="321"/>
      <c r="B42" s="337"/>
      <c r="C42" s="158" t="s">
        <v>632</v>
      </c>
      <c r="D42" s="156">
        <v>1954000</v>
      </c>
      <c r="E42" s="22">
        <f>F42+I42</f>
        <v>1954000</v>
      </c>
      <c r="F42" s="23">
        <f>G42+H42</f>
        <v>104620</v>
      </c>
      <c r="G42" s="23">
        <f>35078.93+2400.52+51588.03+859.39</f>
        <v>89926.87</v>
      </c>
      <c r="H42" s="23">
        <v>14693.13</v>
      </c>
      <c r="I42" s="23">
        <v>1849380</v>
      </c>
      <c r="J42" s="23">
        <v>0</v>
      </c>
      <c r="K42" s="23">
        <v>0</v>
      </c>
    </row>
    <row r="43" spans="1:11" s="21" customFormat="1" ht="24.75" customHeight="1">
      <c r="A43" s="323"/>
      <c r="B43" s="338"/>
      <c r="C43" s="158" t="s">
        <v>633</v>
      </c>
      <c r="D43" s="156">
        <v>1935295.37</v>
      </c>
      <c r="E43" s="22">
        <f>F43+I43</f>
        <v>1935295.3699999999</v>
      </c>
      <c r="F43" s="23">
        <f>G43+H43</f>
        <v>102913.13999999998</v>
      </c>
      <c r="G43" s="23">
        <f>35078.93+2400.52+49881.17+859.39</f>
        <v>88220.01</v>
      </c>
      <c r="H43" s="23">
        <f>2268.74+1004.15+58.83+8447.3+392.82+1047.84+21.4+1205+247.05</f>
        <v>14693.129999999997</v>
      </c>
      <c r="I43" s="23">
        <v>1832382.23</v>
      </c>
      <c r="J43" s="23">
        <v>0</v>
      </c>
      <c r="K43" s="23">
        <v>0</v>
      </c>
    </row>
    <row r="44" spans="1:11" s="21" customFormat="1" ht="24.75" customHeight="1">
      <c r="A44" s="320">
        <v>85213</v>
      </c>
      <c r="B44" s="333" t="s">
        <v>81</v>
      </c>
      <c r="C44" s="158" t="s">
        <v>242</v>
      </c>
      <c r="D44" s="156" t="s">
        <v>82</v>
      </c>
      <c r="E44" s="22">
        <f>F44+I44</f>
        <v>8000</v>
      </c>
      <c r="F44" s="23">
        <f>G44+H44</f>
        <v>8000</v>
      </c>
      <c r="G44" s="23">
        <v>8000</v>
      </c>
      <c r="H44" s="23" t="s">
        <v>67</v>
      </c>
      <c r="I44" s="23" t="s">
        <v>67</v>
      </c>
      <c r="J44" s="23">
        <v>0</v>
      </c>
      <c r="K44" s="23">
        <v>0</v>
      </c>
    </row>
    <row r="45" spans="1:11" s="21" customFormat="1" ht="24.75" customHeight="1">
      <c r="A45" s="321"/>
      <c r="B45" s="334"/>
      <c r="C45" s="158" t="s">
        <v>632</v>
      </c>
      <c r="D45" s="156">
        <v>13956</v>
      </c>
      <c r="E45" s="22">
        <f>F45+I45</f>
        <v>13956</v>
      </c>
      <c r="F45" s="23">
        <f>G45+H45</f>
        <v>13956</v>
      </c>
      <c r="G45" s="23">
        <v>13956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24.75" customHeight="1">
      <c r="A46" s="322"/>
      <c r="B46" s="335"/>
      <c r="C46" s="158" t="s">
        <v>633</v>
      </c>
      <c r="D46" s="156">
        <v>12358.34</v>
      </c>
      <c r="E46" s="22">
        <f>F46+I46</f>
        <v>12358.34</v>
      </c>
      <c r="F46" s="23">
        <f>G46+H46</f>
        <v>0</v>
      </c>
      <c r="G46" s="23">
        <v>0</v>
      </c>
      <c r="H46" s="23">
        <v>0</v>
      </c>
      <c r="I46" s="23">
        <v>12358.34</v>
      </c>
      <c r="J46" s="23">
        <v>0</v>
      </c>
      <c r="K46" s="160">
        <v>0</v>
      </c>
    </row>
    <row r="47" spans="1:11" s="21" customFormat="1" ht="15.75" customHeight="1">
      <c r="A47" s="330"/>
      <c r="B47" s="330"/>
      <c r="C47" s="158" t="s">
        <v>242</v>
      </c>
      <c r="D47" s="166">
        <f>D38+D26+D17+D11</f>
        <v>1845640</v>
      </c>
      <c r="E47" s="164">
        <f aca="true" t="shared" si="10" ref="E47:K47">E38+E26+E17+E11</f>
        <v>1845640</v>
      </c>
      <c r="F47" s="164">
        <f t="shared" si="10"/>
        <v>1845640</v>
      </c>
      <c r="G47" s="164">
        <f t="shared" si="10"/>
        <v>143602</v>
      </c>
      <c r="H47" s="164">
        <f t="shared" si="10"/>
        <v>21108</v>
      </c>
      <c r="I47" s="164">
        <f t="shared" si="10"/>
        <v>1680930</v>
      </c>
      <c r="J47" s="164">
        <f t="shared" si="10"/>
        <v>0</v>
      </c>
      <c r="K47" s="165">
        <f t="shared" si="10"/>
        <v>0</v>
      </c>
    </row>
    <row r="48" spans="1:11" s="21" customFormat="1" ht="15.75" customHeight="1">
      <c r="A48" s="330"/>
      <c r="B48" s="330"/>
      <c r="C48" s="158" t="s">
        <v>632</v>
      </c>
      <c r="D48" s="166">
        <f aca="true" t="shared" si="11" ref="D48:K49">D39+D27+D18+D12</f>
        <v>2241585.67</v>
      </c>
      <c r="E48" s="164">
        <f t="shared" si="11"/>
        <v>2241585.67</v>
      </c>
      <c r="F48" s="164">
        <f t="shared" si="11"/>
        <v>368860.32</v>
      </c>
      <c r="G48" s="164">
        <f t="shared" si="11"/>
        <v>171632</v>
      </c>
      <c r="H48" s="164">
        <f t="shared" si="11"/>
        <v>197328.32</v>
      </c>
      <c r="I48" s="164">
        <f t="shared" si="11"/>
        <v>1872725.35</v>
      </c>
      <c r="J48" s="164">
        <f t="shared" si="11"/>
        <v>0</v>
      </c>
      <c r="K48" s="165">
        <f t="shared" si="11"/>
        <v>0</v>
      </c>
    </row>
    <row r="49" spans="1:11" s="21" customFormat="1" ht="15.75" customHeight="1">
      <c r="A49" s="330"/>
      <c r="B49" s="330"/>
      <c r="C49" s="158" t="s">
        <v>633</v>
      </c>
      <c r="D49" s="166">
        <f t="shared" si="11"/>
        <v>2211937.2800000003</v>
      </c>
      <c r="E49" s="164">
        <f t="shared" si="11"/>
        <v>2211937.38</v>
      </c>
      <c r="F49" s="164">
        <f t="shared" si="11"/>
        <v>350846.45999999996</v>
      </c>
      <c r="G49" s="164">
        <f t="shared" si="11"/>
        <v>154889.13999999998</v>
      </c>
      <c r="H49" s="164">
        <f t="shared" si="11"/>
        <v>191057.32</v>
      </c>
      <c r="I49" s="164">
        <f t="shared" si="11"/>
        <v>1861090.9200000002</v>
      </c>
      <c r="J49" s="164">
        <f t="shared" si="11"/>
        <v>0</v>
      </c>
      <c r="K49" s="165">
        <f t="shared" si="11"/>
        <v>0</v>
      </c>
    </row>
    <row r="52" spans="3:5" ht="12.75">
      <c r="C52" s="15" t="s">
        <v>671</v>
      </c>
      <c r="D52" s="99">
        <v>31386</v>
      </c>
      <c r="E52" s="99">
        <v>22040</v>
      </c>
    </row>
    <row r="53" spans="3:5" ht="12.75">
      <c r="C53" s="15" t="s">
        <v>672</v>
      </c>
      <c r="D53" s="99">
        <v>2201265.67</v>
      </c>
      <c r="E53" s="99">
        <v>2180963.38</v>
      </c>
    </row>
    <row r="54" spans="3:5" ht="12.75">
      <c r="C54" s="15" t="s">
        <v>673</v>
      </c>
      <c r="D54" s="99">
        <v>8934</v>
      </c>
      <c r="E54" s="99">
        <v>8934</v>
      </c>
    </row>
    <row r="55" spans="4:5" ht="12.75">
      <c r="D55" s="99">
        <f>SUM(D52:D54)</f>
        <v>2241585.67</v>
      </c>
      <c r="E55" s="99">
        <f>SUM(E52:E54)</f>
        <v>2211937.38</v>
      </c>
    </row>
    <row r="56" spans="4:5" ht="12.75">
      <c r="D56" s="99">
        <f>D55-D48</f>
        <v>0</v>
      </c>
      <c r="E56" s="99">
        <f>E55-E49</f>
        <v>0</v>
      </c>
    </row>
    <row r="57" spans="4:5" ht="12.75">
      <c r="D57" s="99"/>
      <c r="E57" s="99"/>
    </row>
  </sheetData>
  <sheetProtection/>
  <mergeCells count="37">
    <mergeCell ref="A38:A40"/>
    <mergeCell ref="A26:A28"/>
    <mergeCell ref="B17:B19"/>
    <mergeCell ref="B26:B28"/>
    <mergeCell ref="A41:A43"/>
    <mergeCell ref="A44:A46"/>
    <mergeCell ref="A23:A25"/>
    <mergeCell ref="B23:B25"/>
    <mergeCell ref="K7:K9"/>
    <mergeCell ref="G8:H8"/>
    <mergeCell ref="I8:I9"/>
    <mergeCell ref="J8:J9"/>
    <mergeCell ref="B20:B22"/>
    <mergeCell ref="A29:A31"/>
    <mergeCell ref="A11:A13"/>
    <mergeCell ref="B11:B13"/>
    <mergeCell ref="A14:A16"/>
    <mergeCell ref="B14:B16"/>
    <mergeCell ref="A49:B49"/>
    <mergeCell ref="B6:B9"/>
    <mergeCell ref="D6:D9"/>
    <mergeCell ref="A47:B47"/>
    <mergeCell ref="E6:E9"/>
    <mergeCell ref="F7:F9"/>
    <mergeCell ref="A48:B48"/>
    <mergeCell ref="B44:B46"/>
    <mergeCell ref="B41:B43"/>
    <mergeCell ref="B38:B40"/>
    <mergeCell ref="A1:G1"/>
    <mergeCell ref="A2:G2"/>
    <mergeCell ref="A3:G3"/>
    <mergeCell ref="D4:E4"/>
    <mergeCell ref="A32:A34"/>
    <mergeCell ref="A35:A37"/>
    <mergeCell ref="A17:A19"/>
    <mergeCell ref="A6:A9"/>
    <mergeCell ref="A20:A22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2" fitToWidth="1" horizontalDpi="600" verticalDpi="600" orientation="landscape" paperSize="9" scale="71" r:id="rId1"/>
  <headerFooter alignWithMargins="0">
    <oddFooter>&amp;CStrona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5.57421875" style="233" bestFit="1" customWidth="1"/>
    <col min="2" max="2" width="8.8515625" style="233" bestFit="1" customWidth="1"/>
    <col min="3" max="3" width="19.8515625" style="233" customWidth="1"/>
    <col min="4" max="4" width="14.28125" style="233" customWidth="1"/>
    <col min="5" max="5" width="14.8515625" style="233" customWidth="1"/>
    <col min="6" max="6" width="15.00390625" style="233" customWidth="1"/>
    <col min="7" max="8" width="16.7109375" style="233" customWidth="1"/>
    <col min="9" max="10" width="15.00390625" style="233" customWidth="1"/>
    <col min="11" max="11" width="56.140625" style="233" customWidth="1"/>
    <col min="12" max="12" width="15.00390625" style="233" customWidth="1"/>
    <col min="13" max="16384" width="9.140625" style="235" customWidth="1"/>
  </cols>
  <sheetData>
    <row r="1" spans="1:12" ht="18" customHeight="1">
      <c r="A1" s="317" t="s">
        <v>48</v>
      </c>
      <c r="B1" s="317"/>
      <c r="C1" s="317"/>
      <c r="D1" s="317"/>
      <c r="E1" s="317"/>
      <c r="F1" s="317"/>
      <c r="G1" s="317"/>
      <c r="H1" s="317"/>
      <c r="L1" s="234" t="s">
        <v>83</v>
      </c>
    </row>
    <row r="2" spans="1:12" ht="18" customHeight="1">
      <c r="A2" s="318" t="s">
        <v>631</v>
      </c>
      <c r="B2" s="318"/>
      <c r="C2" s="318"/>
      <c r="D2" s="318"/>
      <c r="E2" s="318"/>
      <c r="F2" s="318"/>
      <c r="G2" s="318"/>
      <c r="H2" s="318"/>
      <c r="I2" s="236"/>
      <c r="J2" s="236"/>
      <c r="K2" s="236"/>
      <c r="L2" s="211" t="s">
        <v>662</v>
      </c>
    </row>
    <row r="3" spans="1:12" ht="18" customHeight="1">
      <c r="A3" s="317" t="s">
        <v>675</v>
      </c>
      <c r="B3" s="317"/>
      <c r="C3" s="317"/>
      <c r="D3" s="317"/>
      <c r="E3" s="317"/>
      <c r="F3" s="317"/>
      <c r="G3" s="317"/>
      <c r="H3" s="317"/>
      <c r="I3" s="237"/>
      <c r="J3" s="237"/>
      <c r="K3" s="237"/>
      <c r="L3" s="234"/>
    </row>
    <row r="4" spans="1:12" ht="18" customHeight="1">
      <c r="A4" s="235"/>
      <c r="B4" s="238"/>
      <c r="C4" s="238"/>
      <c r="D4" s="372"/>
      <c r="E4" s="372"/>
      <c r="F4" s="372"/>
      <c r="G4" s="235"/>
      <c r="H4" s="235"/>
      <c r="I4" s="235"/>
      <c r="J4" s="235"/>
      <c r="K4" s="235"/>
      <c r="L4" s="234"/>
    </row>
    <row r="5" spans="1:12" ht="12.75" customHeight="1">
      <c r="A5" s="235"/>
      <c r="B5" s="238"/>
      <c r="C5" s="238"/>
      <c r="D5" s="239"/>
      <c r="E5" s="239"/>
      <c r="F5" s="239"/>
      <c r="G5" s="235"/>
      <c r="H5" s="235"/>
      <c r="I5" s="235"/>
      <c r="J5" s="235"/>
      <c r="K5" s="235"/>
      <c r="L5" s="234"/>
    </row>
    <row r="6" spans="6:12" ht="12" customHeight="1" thickBot="1">
      <c r="F6" s="240"/>
      <c r="G6" s="240"/>
      <c r="H6" s="240"/>
      <c r="I6" s="240"/>
      <c r="J6" s="241"/>
      <c r="L6" s="242" t="s">
        <v>84</v>
      </c>
    </row>
    <row r="7" spans="1:12" s="249" customFormat="1" ht="17.25" customHeight="1" thickBot="1">
      <c r="A7" s="360" t="s">
        <v>8</v>
      </c>
      <c r="B7" s="363" t="s">
        <v>9</v>
      </c>
      <c r="C7" s="248"/>
      <c r="D7" s="366" t="s">
        <v>85</v>
      </c>
      <c r="E7" s="369" t="s">
        <v>674</v>
      </c>
      <c r="F7" s="373" t="s">
        <v>12</v>
      </c>
      <c r="G7" s="374"/>
      <c r="H7" s="374"/>
      <c r="I7" s="374"/>
      <c r="J7" s="374"/>
      <c r="K7" s="374"/>
      <c r="L7" s="375"/>
    </row>
    <row r="8" spans="1:12" s="249" customFormat="1" ht="12" customHeight="1">
      <c r="A8" s="361"/>
      <c r="B8" s="364"/>
      <c r="C8" s="250"/>
      <c r="D8" s="367"/>
      <c r="E8" s="370"/>
      <c r="F8" s="354" t="s">
        <v>86</v>
      </c>
      <c r="G8" s="352" t="s">
        <v>12</v>
      </c>
      <c r="H8" s="353"/>
      <c r="I8" s="353"/>
      <c r="J8" s="353"/>
      <c r="K8" s="353"/>
      <c r="L8" s="354" t="s">
        <v>87</v>
      </c>
    </row>
    <row r="9" spans="1:12" s="249" customFormat="1" ht="31.5" customHeight="1">
      <c r="A9" s="361"/>
      <c r="B9" s="364"/>
      <c r="C9" s="250"/>
      <c r="D9" s="367"/>
      <c r="E9" s="370"/>
      <c r="F9" s="354"/>
      <c r="G9" s="356" t="s">
        <v>88</v>
      </c>
      <c r="H9" s="357"/>
      <c r="I9" s="358" t="s">
        <v>89</v>
      </c>
      <c r="J9" s="358" t="s">
        <v>90</v>
      </c>
      <c r="K9" s="358" t="s">
        <v>91</v>
      </c>
      <c r="L9" s="354"/>
    </row>
    <row r="10" spans="1:12" s="150" customFormat="1" ht="94.5" customHeight="1" thickBot="1">
      <c r="A10" s="362"/>
      <c r="B10" s="365"/>
      <c r="C10" s="251"/>
      <c r="D10" s="368"/>
      <c r="E10" s="371"/>
      <c r="F10" s="355"/>
      <c r="G10" s="252" t="s">
        <v>92</v>
      </c>
      <c r="H10" s="253" t="s">
        <v>93</v>
      </c>
      <c r="I10" s="359"/>
      <c r="J10" s="359"/>
      <c r="K10" s="359"/>
      <c r="L10" s="355"/>
    </row>
    <row r="11" spans="1:12" s="21" customFormat="1" ht="11.25" customHeight="1">
      <c r="A11" s="254">
        <v>1</v>
      </c>
      <c r="B11" s="254">
        <v>2</v>
      </c>
      <c r="C11" s="254"/>
      <c r="D11" s="254">
        <v>3</v>
      </c>
      <c r="E11" s="254">
        <v>4</v>
      </c>
      <c r="F11" s="254">
        <v>5</v>
      </c>
      <c r="G11" s="254">
        <v>6</v>
      </c>
      <c r="H11" s="254">
        <v>7</v>
      </c>
      <c r="I11" s="254">
        <v>8</v>
      </c>
      <c r="J11" s="254">
        <v>9</v>
      </c>
      <c r="K11" s="254">
        <v>10</v>
      </c>
      <c r="L11" s="254">
        <v>11</v>
      </c>
    </row>
    <row r="12" spans="1:12" ht="19.5" customHeight="1">
      <c r="A12" s="346">
        <v>600</v>
      </c>
      <c r="B12" s="346">
        <v>60013</v>
      </c>
      <c r="C12" s="243" t="s">
        <v>242</v>
      </c>
      <c r="D12" s="244">
        <v>0</v>
      </c>
      <c r="E12" s="244">
        <f>F12+L12</f>
        <v>231000</v>
      </c>
      <c r="F12" s="245">
        <f aca="true" t="shared" si="0" ref="F12:F29">SUM(G12:K12)</f>
        <v>0</v>
      </c>
      <c r="G12" s="245"/>
      <c r="H12" s="245"/>
      <c r="I12" s="245"/>
      <c r="J12" s="245"/>
      <c r="K12" s="245"/>
      <c r="L12" s="245">
        <v>231000</v>
      </c>
    </row>
    <row r="13" spans="1:12" ht="19.5" customHeight="1">
      <c r="A13" s="347"/>
      <c r="B13" s="347"/>
      <c r="C13" s="243" t="s">
        <v>632</v>
      </c>
      <c r="D13" s="244">
        <v>0</v>
      </c>
      <c r="E13" s="244">
        <f aca="true" t="shared" si="1" ref="E13:E29">F13+L13</f>
        <v>250000</v>
      </c>
      <c r="F13" s="245">
        <f t="shared" si="0"/>
        <v>0</v>
      </c>
      <c r="G13" s="245"/>
      <c r="H13" s="245"/>
      <c r="I13" s="245"/>
      <c r="J13" s="245"/>
      <c r="K13" s="245"/>
      <c r="L13" s="245">
        <v>250000</v>
      </c>
    </row>
    <row r="14" spans="1:12" ht="19.5" customHeight="1">
      <c r="A14" s="348"/>
      <c r="B14" s="348"/>
      <c r="C14" s="243" t="s">
        <v>633</v>
      </c>
      <c r="D14" s="244">
        <v>0</v>
      </c>
      <c r="E14" s="244">
        <f t="shared" si="1"/>
        <v>203938.19</v>
      </c>
      <c r="F14" s="245">
        <f t="shared" si="0"/>
        <v>0</v>
      </c>
      <c r="G14" s="245"/>
      <c r="H14" s="245"/>
      <c r="I14" s="245"/>
      <c r="J14" s="245"/>
      <c r="K14" s="245"/>
      <c r="L14" s="245">
        <f>61394.06+142544.13</f>
        <v>203938.19</v>
      </c>
    </row>
    <row r="15" spans="1:12" ht="19.5" customHeight="1">
      <c r="A15" s="346">
        <v>600</v>
      </c>
      <c r="B15" s="346">
        <v>60014</v>
      </c>
      <c r="C15" s="243" t="s">
        <v>242</v>
      </c>
      <c r="D15" s="244">
        <v>0</v>
      </c>
      <c r="E15" s="244">
        <f t="shared" si="1"/>
        <v>445200</v>
      </c>
      <c r="F15" s="245">
        <f t="shared" si="0"/>
        <v>0</v>
      </c>
      <c r="G15" s="245"/>
      <c r="H15" s="245"/>
      <c r="I15" s="245"/>
      <c r="J15" s="245"/>
      <c r="K15" s="245"/>
      <c r="L15" s="245">
        <v>445200</v>
      </c>
    </row>
    <row r="16" spans="1:12" ht="19.5" customHeight="1">
      <c r="A16" s="347"/>
      <c r="B16" s="347"/>
      <c r="C16" s="243" t="s">
        <v>632</v>
      </c>
      <c r="D16" s="244">
        <v>0</v>
      </c>
      <c r="E16" s="244">
        <f t="shared" si="1"/>
        <v>445200</v>
      </c>
      <c r="F16" s="245">
        <f t="shared" si="0"/>
        <v>0</v>
      </c>
      <c r="G16" s="245"/>
      <c r="H16" s="245"/>
      <c r="I16" s="245"/>
      <c r="J16" s="245"/>
      <c r="K16" s="245"/>
      <c r="L16" s="245">
        <v>445200</v>
      </c>
    </row>
    <row r="17" spans="1:12" ht="19.5" customHeight="1">
      <c r="A17" s="348"/>
      <c r="B17" s="348"/>
      <c r="C17" s="243" t="s">
        <v>633</v>
      </c>
      <c r="D17" s="244">
        <v>0</v>
      </c>
      <c r="E17" s="244">
        <f t="shared" si="1"/>
        <v>306860.47</v>
      </c>
      <c r="F17" s="245">
        <f t="shared" si="0"/>
        <v>0</v>
      </c>
      <c r="G17" s="245"/>
      <c r="H17" s="245"/>
      <c r="I17" s="245"/>
      <c r="J17" s="245"/>
      <c r="K17" s="245"/>
      <c r="L17" s="245">
        <v>306860.47</v>
      </c>
    </row>
    <row r="18" spans="1:12" ht="19.5" customHeight="1">
      <c r="A18" s="346">
        <v>801</v>
      </c>
      <c r="B18" s="346">
        <v>80104</v>
      </c>
      <c r="C18" s="243" t="s">
        <v>242</v>
      </c>
      <c r="D18" s="244">
        <v>0</v>
      </c>
      <c r="E18" s="244">
        <f t="shared" si="1"/>
        <v>0</v>
      </c>
      <c r="F18" s="245">
        <f t="shared" si="0"/>
        <v>0</v>
      </c>
      <c r="G18" s="245"/>
      <c r="H18" s="245"/>
      <c r="I18" s="245">
        <v>0</v>
      </c>
      <c r="J18" s="245"/>
      <c r="K18" s="245"/>
      <c r="L18" s="245">
        <v>0</v>
      </c>
    </row>
    <row r="19" spans="1:12" ht="19.5" customHeight="1">
      <c r="A19" s="347"/>
      <c r="B19" s="347"/>
      <c r="C19" s="243" t="s">
        <v>632</v>
      </c>
      <c r="D19" s="244">
        <v>0</v>
      </c>
      <c r="E19" s="244">
        <f t="shared" si="1"/>
        <v>21000</v>
      </c>
      <c r="F19" s="245">
        <f t="shared" si="0"/>
        <v>21000</v>
      </c>
      <c r="G19" s="245"/>
      <c r="H19" s="245"/>
      <c r="I19" s="245">
        <v>21000</v>
      </c>
      <c r="J19" s="245"/>
      <c r="K19" s="245"/>
      <c r="L19" s="245">
        <v>0</v>
      </c>
    </row>
    <row r="20" spans="1:12" ht="19.5" customHeight="1">
      <c r="A20" s="348"/>
      <c r="B20" s="348"/>
      <c r="C20" s="243" t="s">
        <v>633</v>
      </c>
      <c r="D20" s="244">
        <v>0</v>
      </c>
      <c r="E20" s="244">
        <f t="shared" si="1"/>
        <v>16671.6</v>
      </c>
      <c r="F20" s="245">
        <f t="shared" si="0"/>
        <v>16671.6</v>
      </c>
      <c r="G20" s="245"/>
      <c r="H20" s="245"/>
      <c r="I20" s="245">
        <v>16671.6</v>
      </c>
      <c r="J20" s="245"/>
      <c r="K20" s="245"/>
      <c r="L20" s="245">
        <v>0</v>
      </c>
    </row>
    <row r="21" spans="1:12" ht="19.5" customHeight="1">
      <c r="A21" s="346">
        <v>803</v>
      </c>
      <c r="B21" s="346">
        <v>80395</v>
      </c>
      <c r="C21" s="243" t="s">
        <v>242</v>
      </c>
      <c r="D21" s="244">
        <v>0</v>
      </c>
      <c r="E21" s="244">
        <f t="shared" si="1"/>
        <v>0</v>
      </c>
      <c r="F21" s="245">
        <f t="shared" si="0"/>
        <v>0</v>
      </c>
      <c r="G21" s="245"/>
      <c r="H21" s="245"/>
      <c r="I21" s="245"/>
      <c r="J21" s="245"/>
      <c r="K21" s="245"/>
      <c r="L21" s="245">
        <v>0</v>
      </c>
    </row>
    <row r="22" spans="1:12" ht="19.5" customHeight="1">
      <c r="A22" s="347"/>
      <c r="B22" s="347"/>
      <c r="C22" s="243" t="s">
        <v>632</v>
      </c>
      <c r="D22" s="244">
        <v>0</v>
      </c>
      <c r="E22" s="244">
        <f t="shared" si="1"/>
        <v>50000</v>
      </c>
      <c r="F22" s="245">
        <f t="shared" si="0"/>
        <v>0</v>
      </c>
      <c r="G22" s="245"/>
      <c r="H22" s="245"/>
      <c r="I22" s="245"/>
      <c r="J22" s="245"/>
      <c r="K22" s="245"/>
      <c r="L22" s="245">
        <v>50000</v>
      </c>
    </row>
    <row r="23" spans="1:12" ht="19.5" customHeight="1">
      <c r="A23" s="348"/>
      <c r="B23" s="348"/>
      <c r="C23" s="243" t="s">
        <v>633</v>
      </c>
      <c r="D23" s="244">
        <v>0</v>
      </c>
      <c r="E23" s="244">
        <f t="shared" si="1"/>
        <v>40938.24</v>
      </c>
      <c r="F23" s="245">
        <f t="shared" si="0"/>
        <v>0</v>
      </c>
      <c r="G23" s="245"/>
      <c r="H23" s="245"/>
      <c r="I23" s="245"/>
      <c r="J23" s="245"/>
      <c r="K23" s="245"/>
      <c r="L23" s="245">
        <v>40938.24</v>
      </c>
    </row>
    <row r="24" spans="1:12" ht="19.5" customHeight="1">
      <c r="A24" s="346">
        <v>852</v>
      </c>
      <c r="B24" s="346">
        <v>85202</v>
      </c>
      <c r="C24" s="243" t="s">
        <v>242</v>
      </c>
      <c r="D24" s="244">
        <v>0</v>
      </c>
      <c r="E24" s="244">
        <f t="shared" si="1"/>
        <v>0</v>
      </c>
      <c r="F24" s="245">
        <f t="shared" si="0"/>
        <v>0</v>
      </c>
      <c r="G24" s="245"/>
      <c r="H24" s="245"/>
      <c r="I24" s="245"/>
      <c r="J24" s="245"/>
      <c r="K24" s="245"/>
      <c r="L24" s="245">
        <v>0</v>
      </c>
    </row>
    <row r="25" spans="1:12" ht="19.5" customHeight="1">
      <c r="A25" s="347"/>
      <c r="B25" s="347"/>
      <c r="C25" s="243" t="s">
        <v>632</v>
      </c>
      <c r="D25" s="244">
        <v>0</v>
      </c>
      <c r="E25" s="244">
        <f t="shared" si="1"/>
        <v>3750</v>
      </c>
      <c r="F25" s="245">
        <f t="shared" si="0"/>
        <v>3750</v>
      </c>
      <c r="G25" s="245"/>
      <c r="H25" s="245"/>
      <c r="I25" s="245">
        <v>3750</v>
      </c>
      <c r="J25" s="245"/>
      <c r="K25" s="245"/>
      <c r="L25" s="245">
        <v>0</v>
      </c>
    </row>
    <row r="26" spans="1:12" ht="19.5" customHeight="1">
      <c r="A26" s="348"/>
      <c r="B26" s="348"/>
      <c r="C26" s="243" t="s">
        <v>633</v>
      </c>
      <c r="D26" s="244">
        <v>0</v>
      </c>
      <c r="E26" s="244">
        <f t="shared" si="1"/>
        <v>3750</v>
      </c>
      <c r="F26" s="245">
        <f t="shared" si="0"/>
        <v>3750</v>
      </c>
      <c r="G26" s="245"/>
      <c r="H26" s="245"/>
      <c r="I26" s="245">
        <v>3750</v>
      </c>
      <c r="J26" s="245"/>
      <c r="K26" s="245"/>
      <c r="L26" s="245">
        <v>0</v>
      </c>
    </row>
    <row r="27" spans="1:12" ht="19.5" customHeight="1">
      <c r="A27" s="346">
        <v>853</v>
      </c>
      <c r="B27" s="346">
        <v>85395</v>
      </c>
      <c r="C27" s="243" t="s">
        <v>242</v>
      </c>
      <c r="D27" s="244">
        <v>0</v>
      </c>
      <c r="E27" s="244">
        <f t="shared" si="1"/>
        <v>0</v>
      </c>
      <c r="F27" s="245">
        <f t="shared" si="0"/>
        <v>0</v>
      </c>
      <c r="G27" s="245"/>
      <c r="H27" s="245"/>
      <c r="I27" s="245"/>
      <c r="J27" s="245"/>
      <c r="K27" s="245"/>
      <c r="L27" s="245">
        <v>0</v>
      </c>
    </row>
    <row r="28" spans="1:12" ht="19.5" customHeight="1">
      <c r="A28" s="347"/>
      <c r="B28" s="347"/>
      <c r="C28" s="243" t="s">
        <v>632</v>
      </c>
      <c r="D28" s="244">
        <v>0</v>
      </c>
      <c r="E28" s="244">
        <f t="shared" si="1"/>
        <v>117197</v>
      </c>
      <c r="F28" s="245">
        <f t="shared" si="0"/>
        <v>117197</v>
      </c>
      <c r="G28" s="245"/>
      <c r="H28" s="245"/>
      <c r="I28" s="245"/>
      <c r="J28" s="245"/>
      <c r="K28" s="245">
        <v>117197</v>
      </c>
      <c r="L28" s="245">
        <v>0</v>
      </c>
    </row>
    <row r="29" spans="1:12" ht="19.5" customHeight="1">
      <c r="A29" s="348"/>
      <c r="B29" s="348"/>
      <c r="C29" s="243" t="s">
        <v>633</v>
      </c>
      <c r="D29" s="244">
        <v>0</v>
      </c>
      <c r="E29" s="244">
        <f t="shared" si="1"/>
        <v>117197</v>
      </c>
      <c r="F29" s="245">
        <f t="shared" si="0"/>
        <v>117197</v>
      </c>
      <c r="G29" s="245"/>
      <c r="H29" s="245"/>
      <c r="I29" s="245"/>
      <c r="J29" s="245"/>
      <c r="K29" s="245">
        <v>117197</v>
      </c>
      <c r="L29" s="245">
        <v>0</v>
      </c>
    </row>
    <row r="30" spans="1:12" ht="19.5" customHeight="1">
      <c r="A30" s="350" t="s">
        <v>242</v>
      </c>
      <c r="B30" s="351"/>
      <c r="C30" s="351"/>
      <c r="D30" s="246">
        <f>D12+D15+D18+D21+D24+D27</f>
        <v>0</v>
      </c>
      <c r="E30" s="246">
        <f aca="true" t="shared" si="2" ref="E30:L30">E12+E15+E18+E21+E24+E27</f>
        <v>676200</v>
      </c>
      <c r="F30" s="246">
        <f t="shared" si="2"/>
        <v>0</v>
      </c>
      <c r="G30" s="246">
        <f t="shared" si="2"/>
        <v>0</v>
      </c>
      <c r="H30" s="246">
        <f t="shared" si="2"/>
        <v>0</v>
      </c>
      <c r="I30" s="246">
        <f t="shared" si="2"/>
        <v>0</v>
      </c>
      <c r="J30" s="246">
        <f t="shared" si="2"/>
        <v>0</v>
      </c>
      <c r="K30" s="246">
        <f t="shared" si="2"/>
        <v>0</v>
      </c>
      <c r="L30" s="246">
        <f t="shared" si="2"/>
        <v>676200</v>
      </c>
    </row>
    <row r="31" spans="1:12" ht="19.5" customHeight="1">
      <c r="A31" s="350" t="s">
        <v>632</v>
      </c>
      <c r="B31" s="351"/>
      <c r="C31" s="351"/>
      <c r="D31" s="246">
        <f aca="true" t="shared" si="3" ref="D31:L32">D13+D16+D19+D22+D25+D28</f>
        <v>0</v>
      </c>
      <c r="E31" s="246">
        <f t="shared" si="3"/>
        <v>887147</v>
      </c>
      <c r="F31" s="246">
        <f t="shared" si="3"/>
        <v>141947</v>
      </c>
      <c r="G31" s="246">
        <f t="shared" si="3"/>
        <v>0</v>
      </c>
      <c r="H31" s="246">
        <f t="shared" si="3"/>
        <v>0</v>
      </c>
      <c r="I31" s="246">
        <f t="shared" si="3"/>
        <v>24750</v>
      </c>
      <c r="J31" s="246">
        <f t="shared" si="3"/>
        <v>0</v>
      </c>
      <c r="K31" s="246">
        <f t="shared" si="3"/>
        <v>117197</v>
      </c>
      <c r="L31" s="246">
        <f t="shared" si="3"/>
        <v>745200</v>
      </c>
    </row>
    <row r="32" spans="1:12" ht="19.5" customHeight="1">
      <c r="A32" s="350" t="s">
        <v>633</v>
      </c>
      <c r="B32" s="351"/>
      <c r="C32" s="351"/>
      <c r="D32" s="246">
        <f t="shared" si="3"/>
        <v>0</v>
      </c>
      <c r="E32" s="246">
        <f t="shared" si="3"/>
        <v>689355.5</v>
      </c>
      <c r="F32" s="246">
        <f t="shared" si="3"/>
        <v>137618.6</v>
      </c>
      <c r="G32" s="246">
        <f t="shared" si="3"/>
        <v>0</v>
      </c>
      <c r="H32" s="246">
        <f t="shared" si="3"/>
        <v>0</v>
      </c>
      <c r="I32" s="246">
        <f t="shared" si="3"/>
        <v>20421.6</v>
      </c>
      <c r="J32" s="246">
        <f t="shared" si="3"/>
        <v>0</v>
      </c>
      <c r="K32" s="246">
        <f t="shared" si="3"/>
        <v>117197</v>
      </c>
      <c r="L32" s="246">
        <f t="shared" si="3"/>
        <v>551736.9</v>
      </c>
    </row>
    <row r="33" spans="1:9" ht="18.75">
      <c r="A33" s="349"/>
      <c r="B33" s="349"/>
      <c r="C33" s="349"/>
      <c r="D33" s="349"/>
      <c r="E33" s="349"/>
      <c r="F33" s="349"/>
      <c r="G33" s="349"/>
      <c r="H33" s="349"/>
      <c r="I33" s="247"/>
    </row>
  </sheetData>
  <sheetProtection/>
  <mergeCells count="32">
    <mergeCell ref="A7:A10"/>
    <mergeCell ref="B7:B10"/>
    <mergeCell ref="D7:D10"/>
    <mergeCell ref="E7:E10"/>
    <mergeCell ref="A1:H1"/>
    <mergeCell ref="A2:H2"/>
    <mergeCell ref="A3:H3"/>
    <mergeCell ref="D4:F4"/>
    <mergeCell ref="F7:L7"/>
    <mergeCell ref="F8:F10"/>
    <mergeCell ref="G8:K8"/>
    <mergeCell ref="L8:L10"/>
    <mergeCell ref="G9:H9"/>
    <mergeCell ref="I9:I10"/>
    <mergeCell ref="J9:J10"/>
    <mergeCell ref="K9:K10"/>
    <mergeCell ref="B27:B29"/>
    <mergeCell ref="A24:A26"/>
    <mergeCell ref="B24:B26"/>
    <mergeCell ref="A21:A23"/>
    <mergeCell ref="B21:B23"/>
    <mergeCell ref="A33:H33"/>
    <mergeCell ref="A30:C30"/>
    <mergeCell ref="A31:C31"/>
    <mergeCell ref="A32:C32"/>
    <mergeCell ref="A27:A29"/>
    <mergeCell ref="A12:A14"/>
    <mergeCell ref="B12:B14"/>
    <mergeCell ref="A15:A17"/>
    <mergeCell ref="B15:B17"/>
    <mergeCell ref="A18:A20"/>
    <mergeCell ref="B18:B20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166" zoomScaleSheetLayoutView="166" zoomScalePageLayoutView="0" workbookViewId="0" topLeftCell="A1">
      <selection activeCell="I2" sqref="I2"/>
    </sheetView>
  </sheetViews>
  <sheetFormatPr defaultColWidth="9.140625" defaultRowHeight="12.75"/>
  <cols>
    <col min="3" max="3" width="42.00390625" style="0" customWidth="1"/>
    <col min="4" max="4" width="12.421875" style="0" customWidth="1"/>
    <col min="5" max="6" width="10.8515625" style="0" customWidth="1"/>
    <col min="7" max="7" width="12.00390625" style="0" customWidth="1"/>
    <col min="8" max="8" width="10.00390625" style="0" customWidth="1"/>
    <col min="9" max="9" width="10.28125" style="0" customWidth="1"/>
  </cols>
  <sheetData>
    <row r="1" ht="12.75">
      <c r="I1" s="14" t="s">
        <v>3</v>
      </c>
    </row>
    <row r="2" spans="1:9" ht="18">
      <c r="A2" s="378" t="s">
        <v>4</v>
      </c>
      <c r="B2" s="378"/>
      <c r="C2" s="378"/>
      <c r="F2" s="2"/>
      <c r="I2" s="102" t="s">
        <v>662</v>
      </c>
    </row>
    <row r="3" spans="1:6" ht="18">
      <c r="A3" s="378" t="s">
        <v>5</v>
      </c>
      <c r="B3" s="378"/>
      <c r="C3" s="378"/>
      <c r="F3" s="1"/>
    </row>
    <row r="4" spans="1:6" ht="18">
      <c r="A4" s="378" t="s">
        <v>6</v>
      </c>
      <c r="B4" s="378"/>
      <c r="C4" s="378"/>
      <c r="F4" s="1"/>
    </row>
    <row r="6" ht="12.75">
      <c r="I6" s="1" t="s">
        <v>7</v>
      </c>
    </row>
    <row r="7" spans="1:9" ht="25.5">
      <c r="A7" s="379" t="s">
        <v>8</v>
      </c>
      <c r="B7" s="379" t="s">
        <v>9</v>
      </c>
      <c r="C7" s="380" t="s">
        <v>10</v>
      </c>
      <c r="D7" s="3" t="s">
        <v>11</v>
      </c>
      <c r="E7" s="376" t="s">
        <v>12</v>
      </c>
      <c r="F7" s="377"/>
      <c r="G7" s="3" t="s">
        <v>633</v>
      </c>
      <c r="H7" s="376" t="s">
        <v>12</v>
      </c>
      <c r="I7" s="377"/>
    </row>
    <row r="8" spans="1:9" ht="25.5">
      <c r="A8" s="379"/>
      <c r="B8" s="379"/>
      <c r="C8" s="380"/>
      <c r="D8" s="4" t="s">
        <v>13</v>
      </c>
      <c r="E8" s="3" t="s">
        <v>14</v>
      </c>
      <c r="F8" s="3" t="s">
        <v>15</v>
      </c>
      <c r="G8" s="4" t="s">
        <v>13</v>
      </c>
      <c r="H8" s="3" t="s">
        <v>14</v>
      </c>
      <c r="I8" s="3" t="s">
        <v>15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4</v>
      </c>
      <c r="H9" s="5">
        <v>5</v>
      </c>
      <c r="I9" s="5">
        <v>6</v>
      </c>
    </row>
    <row r="10" spans="1:9" ht="12.75">
      <c r="A10" s="381" t="s">
        <v>16</v>
      </c>
      <c r="B10" s="382"/>
      <c r="C10" s="383"/>
      <c r="D10" s="6">
        <f>E10+F10</f>
        <v>70000</v>
      </c>
      <c r="E10" s="6">
        <f>SUM(E11:E12)</f>
        <v>20419.239999999998</v>
      </c>
      <c r="F10" s="6">
        <f>SUM(F11:F12)</f>
        <v>49580.76</v>
      </c>
      <c r="G10" s="6">
        <f>H10+I10</f>
        <v>50046.63</v>
      </c>
      <c r="H10" s="6">
        <f>SUM(H11:H12)</f>
        <v>16086.74</v>
      </c>
      <c r="I10" s="6">
        <f>SUM(I11:I12)</f>
        <v>33959.89</v>
      </c>
    </row>
    <row r="11" spans="1:14" ht="12.75">
      <c r="A11" s="7">
        <v>900</v>
      </c>
      <c r="B11" s="7">
        <v>90095</v>
      </c>
      <c r="C11" s="8" t="s">
        <v>17</v>
      </c>
      <c r="D11" s="9">
        <f>E11+F11</f>
        <v>58195</v>
      </c>
      <c r="E11" s="9">
        <v>8614.24</v>
      </c>
      <c r="F11" s="9">
        <v>49580.76</v>
      </c>
      <c r="G11" s="9">
        <f>H11+I11</f>
        <v>42574.13</v>
      </c>
      <c r="H11" s="9">
        <v>8614.24</v>
      </c>
      <c r="I11" s="9">
        <f>42574.13-H11</f>
        <v>33959.89</v>
      </c>
      <c r="L11" s="174" t="s">
        <v>730</v>
      </c>
      <c r="M11">
        <v>11712</v>
      </c>
      <c r="N11">
        <f>M11/12</f>
        <v>976</v>
      </c>
    </row>
    <row r="12" spans="1:14" ht="12.75">
      <c r="A12" s="7">
        <v>900</v>
      </c>
      <c r="B12" s="7">
        <v>90095</v>
      </c>
      <c r="C12" s="10" t="s">
        <v>18</v>
      </c>
      <c r="D12" s="9">
        <f>E12+F12</f>
        <v>11805</v>
      </c>
      <c r="E12" s="9">
        <f>74.7*150+600</f>
        <v>11805</v>
      </c>
      <c r="F12" s="9">
        <v>0</v>
      </c>
      <c r="G12" s="9">
        <f>H12+I12</f>
        <v>7472.5</v>
      </c>
      <c r="H12" s="9">
        <v>7472.5</v>
      </c>
      <c r="I12" s="9">
        <f>7472.5-H12</f>
        <v>0</v>
      </c>
      <c r="L12" s="174" t="s">
        <v>731</v>
      </c>
      <c r="M12">
        <v>491857.56</v>
      </c>
      <c r="N12">
        <f>M12/12</f>
        <v>40988.13</v>
      </c>
    </row>
    <row r="13" spans="1:13" ht="12.75">
      <c r="A13" s="381" t="s">
        <v>19</v>
      </c>
      <c r="B13" s="382"/>
      <c r="C13" s="383"/>
      <c r="D13" s="6">
        <f>SUM(D14)</f>
        <v>70000</v>
      </c>
      <c r="E13" s="6">
        <f>E14</f>
        <v>27767.56</v>
      </c>
      <c r="F13" s="6">
        <f>F14</f>
        <v>42232.44</v>
      </c>
      <c r="G13" s="6">
        <f>SUM(G14)</f>
        <v>42574.13</v>
      </c>
      <c r="H13" s="6">
        <f>H14</f>
        <v>27767.56</v>
      </c>
      <c r="I13" s="6">
        <f>I14</f>
        <v>14806.569999999996</v>
      </c>
      <c r="K13" s="174" t="s">
        <v>733</v>
      </c>
      <c r="L13" s="174" t="s">
        <v>732</v>
      </c>
      <c r="M13">
        <v>10980</v>
      </c>
    </row>
    <row r="14" spans="1:14" ht="12.75">
      <c r="A14" s="7">
        <v>900</v>
      </c>
      <c r="B14" s="7">
        <v>90095</v>
      </c>
      <c r="C14" s="8" t="s">
        <v>17</v>
      </c>
      <c r="D14" s="9">
        <f>E14+F14</f>
        <v>70000</v>
      </c>
      <c r="E14" s="9">
        <v>27767.56</v>
      </c>
      <c r="F14" s="9">
        <v>42232.44</v>
      </c>
      <c r="G14" s="9">
        <f>H14+I14</f>
        <v>42574.13</v>
      </c>
      <c r="H14" s="9">
        <v>27767.56</v>
      </c>
      <c r="I14" s="9">
        <f>42574.13-H14</f>
        <v>14806.569999999996</v>
      </c>
      <c r="L14" s="174" t="s">
        <v>734</v>
      </c>
      <c r="M14">
        <f>500*1.22</f>
        <v>610</v>
      </c>
      <c r="N14">
        <v>610</v>
      </c>
    </row>
    <row r="15" spans="1:9" ht="12.75">
      <c r="A15" s="381" t="s">
        <v>20</v>
      </c>
      <c r="B15" s="382"/>
      <c r="C15" s="383"/>
      <c r="D15" s="6">
        <f>E15+F15</f>
        <v>70000</v>
      </c>
      <c r="E15" s="6">
        <f>E16</f>
        <v>22955.38</v>
      </c>
      <c r="F15" s="6">
        <f>F16</f>
        <v>47044.62</v>
      </c>
      <c r="G15" s="6">
        <f>H15+I15</f>
        <v>42574.13</v>
      </c>
      <c r="H15" s="6">
        <f>H16</f>
        <v>22955.38</v>
      </c>
      <c r="I15" s="6">
        <f>I16</f>
        <v>19618.749999999996</v>
      </c>
    </row>
    <row r="16" spans="1:14" ht="12.75">
      <c r="A16" s="7">
        <v>900</v>
      </c>
      <c r="B16" s="7">
        <v>90095</v>
      </c>
      <c r="C16" s="8" t="s">
        <v>17</v>
      </c>
      <c r="D16" s="9">
        <f>E16+F16</f>
        <v>70000</v>
      </c>
      <c r="E16" s="9">
        <v>22955.38</v>
      </c>
      <c r="F16" s="9">
        <v>47044.62</v>
      </c>
      <c r="G16" s="9">
        <f>H16+I16</f>
        <v>42574.13</v>
      </c>
      <c r="H16" s="9">
        <v>22955.38</v>
      </c>
      <c r="I16" s="9">
        <f>42574.13-H16</f>
        <v>19618.749999999996</v>
      </c>
      <c r="N16">
        <f>SUM(N11:N15)</f>
        <v>42574.13</v>
      </c>
    </row>
    <row r="17" spans="1:15" ht="12.75">
      <c r="A17" s="381" t="s">
        <v>21</v>
      </c>
      <c r="B17" s="382"/>
      <c r="C17" s="383"/>
      <c r="D17" s="6">
        <f aca="true" t="shared" si="0" ref="D17:I17">SUM(D18:D19)</f>
        <v>100000</v>
      </c>
      <c r="E17" s="6">
        <f t="shared" si="0"/>
        <v>65029.42</v>
      </c>
      <c r="F17" s="6">
        <f t="shared" si="0"/>
        <v>34970.58</v>
      </c>
      <c r="G17" s="6">
        <f t="shared" si="0"/>
        <v>36352.22</v>
      </c>
      <c r="H17" s="6">
        <f t="shared" si="0"/>
        <v>36352.22</v>
      </c>
      <c r="I17" s="6">
        <f t="shared" si="0"/>
        <v>0</v>
      </c>
      <c r="L17" s="174" t="s">
        <v>735</v>
      </c>
      <c r="M17">
        <v>32055.5</v>
      </c>
      <c r="O17" s="174" t="s">
        <v>736</v>
      </c>
    </row>
    <row r="18" spans="1:9" ht="12.75">
      <c r="A18" s="7">
        <v>801</v>
      </c>
      <c r="B18" s="7">
        <v>80104</v>
      </c>
      <c r="C18" s="11" t="s">
        <v>22</v>
      </c>
      <c r="D18" s="9">
        <f>E18+F18</f>
        <v>50000</v>
      </c>
      <c r="E18" s="9">
        <f>24772+257.42</f>
        <v>25029.42</v>
      </c>
      <c r="F18" s="9">
        <f>25228-257.42</f>
        <v>24970.58</v>
      </c>
      <c r="G18" s="9">
        <f>H18+I18</f>
        <v>0</v>
      </c>
      <c r="H18" s="9">
        <v>0</v>
      </c>
      <c r="I18" s="9">
        <v>0</v>
      </c>
    </row>
    <row r="19" spans="1:9" ht="12.75" customHeight="1">
      <c r="A19" s="7">
        <v>900</v>
      </c>
      <c r="B19" s="7">
        <v>90095</v>
      </c>
      <c r="C19" s="11" t="s">
        <v>23</v>
      </c>
      <c r="D19" s="9">
        <f>E19+F19</f>
        <v>50000</v>
      </c>
      <c r="E19" s="9">
        <v>40000</v>
      </c>
      <c r="F19" s="9">
        <v>10000</v>
      </c>
      <c r="G19" s="9">
        <f>H19+I19</f>
        <v>36352.22</v>
      </c>
      <c r="H19" s="9">
        <v>36352.22</v>
      </c>
      <c r="I19" s="9">
        <f>36352.22-H19</f>
        <v>0</v>
      </c>
    </row>
    <row r="20" spans="1:9" ht="12.75">
      <c r="A20" s="381" t="s">
        <v>24</v>
      </c>
      <c r="B20" s="382"/>
      <c r="C20" s="383"/>
      <c r="D20" s="6">
        <f aca="true" t="shared" si="1" ref="D20:I20">SUM(D21:D22)</f>
        <v>80000</v>
      </c>
      <c r="E20" s="6">
        <f t="shared" si="1"/>
        <v>28352.83</v>
      </c>
      <c r="F20" s="6">
        <f t="shared" si="1"/>
        <v>51647.17</v>
      </c>
      <c r="G20" s="6">
        <f t="shared" si="1"/>
        <v>60169.88</v>
      </c>
      <c r="H20" s="6">
        <f t="shared" si="1"/>
        <v>28352.83</v>
      </c>
      <c r="I20" s="6">
        <f t="shared" si="1"/>
        <v>31817.049999999996</v>
      </c>
    </row>
    <row r="21" spans="1:9" ht="12.75">
      <c r="A21" s="7">
        <v>900</v>
      </c>
      <c r="B21" s="7">
        <v>90095</v>
      </c>
      <c r="C21" s="8" t="s">
        <v>25</v>
      </c>
      <c r="D21" s="9">
        <f>E21+F21</f>
        <v>40000</v>
      </c>
      <c r="E21" s="9">
        <v>16852.83</v>
      </c>
      <c r="F21" s="9">
        <v>23147.17</v>
      </c>
      <c r="G21" s="9">
        <f>H21+I21</f>
        <v>17595.75</v>
      </c>
      <c r="H21" s="9">
        <v>16852.83</v>
      </c>
      <c r="I21" s="9">
        <f>17595.75-H21</f>
        <v>742.9199999999983</v>
      </c>
    </row>
    <row r="22" spans="1:9" ht="12.75">
      <c r="A22" s="7">
        <v>900</v>
      </c>
      <c r="B22" s="7">
        <v>90095</v>
      </c>
      <c r="C22" s="8" t="s">
        <v>17</v>
      </c>
      <c r="D22" s="9">
        <f>E22+F22</f>
        <v>40000</v>
      </c>
      <c r="E22" s="9">
        <v>11500</v>
      </c>
      <c r="F22" s="9">
        <v>28500</v>
      </c>
      <c r="G22" s="9">
        <f>H22+I22</f>
        <v>42574.13</v>
      </c>
      <c r="H22" s="9">
        <v>11500</v>
      </c>
      <c r="I22" s="9">
        <f>42574.13-H22</f>
        <v>31074.129999999997</v>
      </c>
    </row>
    <row r="23" spans="1:9" ht="12.75">
      <c r="A23" s="381" t="s">
        <v>26</v>
      </c>
      <c r="B23" s="382"/>
      <c r="C23" s="383"/>
      <c r="D23" s="6">
        <f aca="true" t="shared" si="2" ref="D23:I23">SUM(D24:D25)</f>
        <v>80000</v>
      </c>
      <c r="E23" s="6">
        <f t="shared" si="2"/>
        <v>21524.739999999998</v>
      </c>
      <c r="F23" s="6">
        <f t="shared" si="2"/>
        <v>58475.26</v>
      </c>
      <c r="G23" s="6">
        <f t="shared" si="2"/>
        <v>42574.13</v>
      </c>
      <c r="H23" s="6">
        <f t="shared" si="2"/>
        <v>11524.74</v>
      </c>
      <c r="I23" s="6">
        <f t="shared" si="2"/>
        <v>31049.39</v>
      </c>
    </row>
    <row r="24" spans="1:9" ht="12.75">
      <c r="A24" s="7">
        <v>900</v>
      </c>
      <c r="B24" s="7">
        <v>90095</v>
      </c>
      <c r="C24" s="8" t="s">
        <v>25</v>
      </c>
      <c r="D24" s="9">
        <f>E24+F24</f>
        <v>20000</v>
      </c>
      <c r="E24" s="9">
        <v>10000</v>
      </c>
      <c r="F24" s="9">
        <v>10000</v>
      </c>
      <c r="G24" s="9">
        <f>H24+I24</f>
        <v>0</v>
      </c>
      <c r="H24" s="9">
        <v>0</v>
      </c>
      <c r="I24" s="9">
        <v>0</v>
      </c>
    </row>
    <row r="25" spans="1:9" ht="12.75">
      <c r="A25" s="7">
        <v>900</v>
      </c>
      <c r="B25" s="7">
        <v>90095</v>
      </c>
      <c r="C25" s="8" t="s">
        <v>17</v>
      </c>
      <c r="D25" s="9">
        <f>E25+F25</f>
        <v>60000</v>
      </c>
      <c r="E25" s="9">
        <v>11524.74</v>
      </c>
      <c r="F25" s="9">
        <v>48475.26</v>
      </c>
      <c r="G25" s="9">
        <f>H25+I25</f>
        <v>42574.13</v>
      </c>
      <c r="H25" s="9">
        <v>11524.74</v>
      </c>
      <c r="I25" s="9">
        <f>42574.13-H25</f>
        <v>31049.39</v>
      </c>
    </row>
    <row r="26" spans="1:9" ht="12.75">
      <c r="A26" s="381" t="s">
        <v>27</v>
      </c>
      <c r="B26" s="382"/>
      <c r="C26" s="383"/>
      <c r="D26" s="6">
        <f>SUM(D27)</f>
        <v>61000</v>
      </c>
      <c r="E26" s="6">
        <f>E27</f>
        <v>18143.21</v>
      </c>
      <c r="F26" s="6">
        <f>F27</f>
        <v>42856.79</v>
      </c>
      <c r="G26" s="6">
        <f>SUM(G27)</f>
        <v>42574.13</v>
      </c>
      <c r="H26" s="6">
        <f>H27</f>
        <v>18143.21</v>
      </c>
      <c r="I26" s="6">
        <f>I27</f>
        <v>24430.92</v>
      </c>
    </row>
    <row r="27" spans="1:9" ht="12.75">
      <c r="A27" s="7">
        <v>900</v>
      </c>
      <c r="B27" s="7">
        <v>90095</v>
      </c>
      <c r="C27" s="8" t="s">
        <v>17</v>
      </c>
      <c r="D27" s="9">
        <f aca="true" t="shared" si="3" ref="D27:D35">E27+F27</f>
        <v>61000</v>
      </c>
      <c r="E27" s="9">
        <v>18143.21</v>
      </c>
      <c r="F27" s="9">
        <v>42856.79</v>
      </c>
      <c r="G27" s="9">
        <f>H27+I27</f>
        <v>42574.13</v>
      </c>
      <c r="H27" s="9">
        <v>18143.21</v>
      </c>
      <c r="I27" s="9">
        <f>42574.13-H27</f>
        <v>24430.92</v>
      </c>
    </row>
    <row r="28" spans="1:9" ht="12.75">
      <c r="A28" s="381" t="s">
        <v>28</v>
      </c>
      <c r="B28" s="382"/>
      <c r="C28" s="383"/>
      <c r="D28" s="6">
        <f>E28+F28</f>
        <v>71000</v>
      </c>
      <c r="E28" s="6">
        <f>E29</f>
        <v>19443.8</v>
      </c>
      <c r="F28" s="6">
        <f>F29</f>
        <v>51556.2</v>
      </c>
      <c r="G28" s="6">
        <f>H28+I28</f>
        <v>42574.13</v>
      </c>
      <c r="H28" s="6">
        <f>H29</f>
        <v>19443.8</v>
      </c>
      <c r="I28" s="6">
        <f>I29</f>
        <v>23130.329999999998</v>
      </c>
    </row>
    <row r="29" spans="1:9" ht="12.75">
      <c r="A29" s="7">
        <v>900</v>
      </c>
      <c r="B29" s="7">
        <v>90095</v>
      </c>
      <c r="C29" s="8" t="s">
        <v>17</v>
      </c>
      <c r="D29" s="9">
        <f>E29+F29</f>
        <v>71000</v>
      </c>
      <c r="E29" s="9">
        <v>19443.8</v>
      </c>
      <c r="F29" s="9">
        <v>51556.2</v>
      </c>
      <c r="G29" s="9">
        <f>H29+I29</f>
        <v>42574.13</v>
      </c>
      <c r="H29" s="9">
        <v>19443.8</v>
      </c>
      <c r="I29" s="9">
        <f>42574.13-H29</f>
        <v>23130.329999999998</v>
      </c>
    </row>
    <row r="30" spans="1:9" ht="18" customHeight="1">
      <c r="A30" s="381" t="s">
        <v>29</v>
      </c>
      <c r="B30" s="382"/>
      <c r="C30" s="383"/>
      <c r="D30" s="6">
        <f t="shared" si="3"/>
        <v>100000</v>
      </c>
      <c r="E30" s="6">
        <f>E31</f>
        <v>40513.33</v>
      </c>
      <c r="F30" s="6">
        <f>F31</f>
        <v>59486.67</v>
      </c>
      <c r="G30" s="6">
        <f aca="true" t="shared" si="4" ref="G30:G35">H30+I30</f>
        <v>57559.99</v>
      </c>
      <c r="H30" s="6">
        <f>H31</f>
        <v>40513.33</v>
      </c>
      <c r="I30" s="6">
        <f>I31</f>
        <v>17046.659999999996</v>
      </c>
    </row>
    <row r="31" spans="1:9" ht="28.5" customHeight="1">
      <c r="A31" s="7">
        <v>926</v>
      </c>
      <c r="B31" s="7">
        <v>92601</v>
      </c>
      <c r="C31" s="11" t="s">
        <v>30</v>
      </c>
      <c r="D31" s="9">
        <f t="shared" si="3"/>
        <v>100000</v>
      </c>
      <c r="E31" s="9">
        <v>40513.33</v>
      </c>
      <c r="F31" s="9">
        <v>59486.67</v>
      </c>
      <c r="G31" s="9">
        <f t="shared" si="4"/>
        <v>57559.99</v>
      </c>
      <c r="H31" s="9">
        <v>40513.33</v>
      </c>
      <c r="I31" s="9">
        <f>57559.99-H31</f>
        <v>17046.659999999996</v>
      </c>
    </row>
    <row r="32" spans="1:9" ht="12.75">
      <c r="A32" s="381" t="s">
        <v>31</v>
      </c>
      <c r="B32" s="382"/>
      <c r="C32" s="383"/>
      <c r="D32" s="6">
        <f t="shared" si="3"/>
        <v>100000</v>
      </c>
      <c r="E32" s="6">
        <f>E33</f>
        <v>34140.44</v>
      </c>
      <c r="F32" s="6">
        <f>F33</f>
        <v>65859.56</v>
      </c>
      <c r="G32" s="6">
        <f t="shared" si="4"/>
        <v>42574.13</v>
      </c>
      <c r="H32" s="6">
        <f>H33</f>
        <v>34140.44</v>
      </c>
      <c r="I32" s="6">
        <f>I33</f>
        <v>8433.689999999995</v>
      </c>
    </row>
    <row r="33" spans="1:9" ht="12.75">
      <c r="A33" s="7">
        <v>900</v>
      </c>
      <c r="B33" s="7">
        <v>90095</v>
      </c>
      <c r="C33" s="8" t="s">
        <v>17</v>
      </c>
      <c r="D33" s="9">
        <f t="shared" si="3"/>
        <v>100000</v>
      </c>
      <c r="E33" s="9">
        <v>34140.44</v>
      </c>
      <c r="F33" s="9">
        <v>65859.56</v>
      </c>
      <c r="G33" s="9">
        <f t="shared" si="4"/>
        <v>42574.13</v>
      </c>
      <c r="H33" s="9">
        <v>34140.44</v>
      </c>
      <c r="I33" s="9">
        <f>42574.13-H33</f>
        <v>8433.689999999995</v>
      </c>
    </row>
    <row r="34" spans="1:9" ht="12.75">
      <c r="A34" s="381" t="s">
        <v>32</v>
      </c>
      <c r="B34" s="382"/>
      <c r="C34" s="383"/>
      <c r="D34" s="6">
        <f t="shared" si="3"/>
        <v>70000</v>
      </c>
      <c r="E34" s="6">
        <f>E35</f>
        <v>27247.33</v>
      </c>
      <c r="F34" s="6">
        <f>F35</f>
        <v>42752.67</v>
      </c>
      <c r="G34" s="6">
        <f t="shared" si="4"/>
        <v>42574.13</v>
      </c>
      <c r="H34" s="6">
        <f>H35</f>
        <v>27247.33</v>
      </c>
      <c r="I34" s="6">
        <f>I35</f>
        <v>15326.799999999996</v>
      </c>
    </row>
    <row r="35" spans="1:9" ht="12.75">
      <c r="A35" s="7">
        <v>900</v>
      </c>
      <c r="B35" s="7">
        <v>90095</v>
      </c>
      <c r="C35" s="11" t="s">
        <v>33</v>
      </c>
      <c r="D35" s="9">
        <f t="shared" si="3"/>
        <v>70000</v>
      </c>
      <c r="E35" s="9">
        <v>27247.33</v>
      </c>
      <c r="F35" s="9">
        <v>42752.67</v>
      </c>
      <c r="G35" s="9">
        <f t="shared" si="4"/>
        <v>42574.13</v>
      </c>
      <c r="H35" s="9">
        <v>27247.33</v>
      </c>
      <c r="I35" s="9">
        <f>42574.13-H35</f>
        <v>15326.799999999996</v>
      </c>
    </row>
    <row r="36" spans="1:9" ht="12.75">
      <c r="A36" s="381" t="s">
        <v>34</v>
      </c>
      <c r="B36" s="382"/>
      <c r="C36" s="383"/>
      <c r="D36" s="6">
        <f>SUM(D37)</f>
        <v>60000</v>
      </c>
      <c r="E36" s="6">
        <f>E37</f>
        <v>17753.03</v>
      </c>
      <c r="F36" s="6">
        <f>F37</f>
        <v>42246.97</v>
      </c>
      <c r="G36" s="6">
        <f>SUM(G37)</f>
        <v>42574.13</v>
      </c>
      <c r="H36" s="6">
        <f>H37</f>
        <v>17753.03</v>
      </c>
      <c r="I36" s="6">
        <f>I37</f>
        <v>24821.1</v>
      </c>
    </row>
    <row r="37" spans="1:9" ht="12.75">
      <c r="A37" s="7">
        <v>900</v>
      </c>
      <c r="B37" s="7">
        <v>90095</v>
      </c>
      <c r="C37" s="8" t="s">
        <v>35</v>
      </c>
      <c r="D37" s="9">
        <f>E37+F37</f>
        <v>60000</v>
      </c>
      <c r="E37" s="9">
        <v>17753.03</v>
      </c>
      <c r="F37" s="9">
        <v>42246.97</v>
      </c>
      <c r="G37" s="9">
        <f>H37+I37</f>
        <v>42574.13</v>
      </c>
      <c r="H37" s="9">
        <v>17753.03</v>
      </c>
      <c r="I37" s="9">
        <f>42574.13-H37</f>
        <v>24821.1</v>
      </c>
    </row>
    <row r="38" spans="1:9" ht="12.75">
      <c r="A38" s="381" t="s">
        <v>36</v>
      </c>
      <c r="B38" s="382"/>
      <c r="C38" s="383"/>
      <c r="D38" s="6">
        <f>SUM(D39)</f>
        <v>30000</v>
      </c>
      <c r="E38" s="6">
        <f>E39</f>
        <v>15151.85</v>
      </c>
      <c r="F38" s="6">
        <f>F39</f>
        <v>14848.15</v>
      </c>
      <c r="G38" s="6">
        <f>SUM(G39)</f>
        <v>0</v>
      </c>
      <c r="H38" s="6">
        <f>H39</f>
        <v>0</v>
      </c>
      <c r="I38" s="6">
        <f>I39</f>
        <v>0</v>
      </c>
    </row>
    <row r="39" spans="1:9" ht="25.5">
      <c r="A39" s="7">
        <v>630</v>
      </c>
      <c r="B39" s="7">
        <v>63003</v>
      </c>
      <c r="C39" s="11" t="s">
        <v>37</v>
      </c>
      <c r="D39" s="9">
        <f>E39+F39</f>
        <v>30000</v>
      </c>
      <c r="E39" s="9">
        <v>15151.85</v>
      </c>
      <c r="F39" s="9">
        <v>14848.15</v>
      </c>
      <c r="G39" s="9">
        <f>H39+I39</f>
        <v>0</v>
      </c>
      <c r="H39" s="9">
        <v>0</v>
      </c>
      <c r="I39" s="9">
        <v>0</v>
      </c>
    </row>
    <row r="40" spans="1:9" ht="12.75">
      <c r="A40" s="381" t="s">
        <v>38</v>
      </c>
      <c r="B40" s="382"/>
      <c r="C40" s="383"/>
      <c r="D40" s="6">
        <f>SUM(D41)</f>
        <v>70000</v>
      </c>
      <c r="E40" s="6">
        <f>E41</f>
        <v>22500.18</v>
      </c>
      <c r="F40" s="6">
        <f>F41</f>
        <v>47499.82</v>
      </c>
      <c r="G40" s="6">
        <f>SUM(G41)</f>
        <v>42574.13</v>
      </c>
      <c r="H40" s="6">
        <f>H41</f>
        <v>22500.18</v>
      </c>
      <c r="I40" s="6">
        <f>I41</f>
        <v>20073.949999999997</v>
      </c>
    </row>
    <row r="41" spans="1:9" ht="12.75">
      <c r="A41" s="7">
        <v>900</v>
      </c>
      <c r="B41" s="7">
        <v>90095</v>
      </c>
      <c r="C41" s="11" t="s">
        <v>33</v>
      </c>
      <c r="D41" s="9">
        <f>E41+F41</f>
        <v>70000</v>
      </c>
      <c r="E41" s="9">
        <v>22500.18</v>
      </c>
      <c r="F41" s="9">
        <v>47499.82</v>
      </c>
      <c r="G41" s="9">
        <f>H41+I41</f>
        <v>42574.13</v>
      </c>
      <c r="H41" s="9">
        <v>22500.18</v>
      </c>
      <c r="I41" s="9">
        <f>42574.13-H41</f>
        <v>20073.949999999997</v>
      </c>
    </row>
    <row r="42" spans="1:9" ht="12.75">
      <c r="A42" s="381" t="s">
        <v>39</v>
      </c>
      <c r="B42" s="382"/>
      <c r="C42" s="383"/>
      <c r="D42" s="6">
        <f aca="true" t="shared" si="5" ref="D42:I42">SUM(D43:D45)</f>
        <v>100000</v>
      </c>
      <c r="E42" s="6">
        <f t="shared" si="5"/>
        <v>33360.09</v>
      </c>
      <c r="F42" s="6">
        <f t="shared" si="5"/>
        <v>66639.91</v>
      </c>
      <c r="G42" s="6">
        <f t="shared" si="5"/>
        <v>50687.13</v>
      </c>
      <c r="H42" s="6">
        <f t="shared" si="5"/>
        <v>25300</v>
      </c>
      <c r="I42" s="6">
        <f t="shared" si="5"/>
        <v>25387.129999999997</v>
      </c>
    </row>
    <row r="43" spans="1:9" ht="12.75">
      <c r="A43" s="7">
        <v>900</v>
      </c>
      <c r="B43" s="7">
        <v>90095</v>
      </c>
      <c r="C43" s="10" t="s">
        <v>40</v>
      </c>
      <c r="D43" s="9">
        <f>E43+F43</f>
        <v>59939.91</v>
      </c>
      <c r="E43" s="9">
        <v>18300</v>
      </c>
      <c r="F43" s="9">
        <v>41639.91</v>
      </c>
      <c r="G43" s="9">
        <f>H43+I43</f>
        <v>42574.13</v>
      </c>
      <c r="H43" s="9">
        <v>18300</v>
      </c>
      <c r="I43" s="9">
        <f>42574.13-H43</f>
        <v>24274.129999999997</v>
      </c>
    </row>
    <row r="44" spans="1:9" ht="12.75">
      <c r="A44" s="7">
        <v>900</v>
      </c>
      <c r="B44" s="7">
        <v>90095</v>
      </c>
      <c r="C44" s="10" t="s">
        <v>41</v>
      </c>
      <c r="D44" s="9">
        <f>E44+F44</f>
        <v>22000</v>
      </c>
      <c r="E44" s="9">
        <v>7000</v>
      </c>
      <c r="F44" s="9">
        <v>15000</v>
      </c>
      <c r="G44" s="9">
        <f>H44+I44</f>
        <v>8113</v>
      </c>
      <c r="H44" s="9">
        <v>7000</v>
      </c>
      <c r="I44" s="9">
        <f>6650*1.22-H44</f>
        <v>1113</v>
      </c>
    </row>
    <row r="45" spans="1:9" ht="25.5">
      <c r="A45" s="7">
        <v>900</v>
      </c>
      <c r="B45" s="7">
        <v>90095</v>
      </c>
      <c r="C45" s="12" t="s">
        <v>42</v>
      </c>
      <c r="D45" s="9">
        <f>E45+F45</f>
        <v>18060.09</v>
      </c>
      <c r="E45" s="9">
        <v>8060.09</v>
      </c>
      <c r="F45" s="9">
        <v>10000</v>
      </c>
      <c r="G45" s="9">
        <f>H45+I45</f>
        <v>0</v>
      </c>
      <c r="H45" s="9">
        <v>0</v>
      </c>
      <c r="I45" s="9">
        <v>0</v>
      </c>
    </row>
    <row r="46" spans="1:9" ht="12.75">
      <c r="A46" s="381" t="s">
        <v>43</v>
      </c>
      <c r="B46" s="382"/>
      <c r="C46" s="383"/>
      <c r="D46" s="6">
        <f aca="true" t="shared" si="6" ref="D46:I46">SUM(D47:D49)</f>
        <v>30000</v>
      </c>
      <c r="E46" s="6">
        <f t="shared" si="6"/>
        <v>25000</v>
      </c>
      <c r="F46" s="6">
        <f t="shared" si="6"/>
        <v>5000</v>
      </c>
      <c r="G46" s="6">
        <f t="shared" si="6"/>
        <v>4303.73</v>
      </c>
      <c r="H46" s="6">
        <f t="shared" si="6"/>
        <v>4303.73</v>
      </c>
      <c r="I46" s="6">
        <f t="shared" si="6"/>
        <v>0</v>
      </c>
    </row>
    <row r="47" spans="1:9" ht="12.75">
      <c r="A47" s="7">
        <v>600</v>
      </c>
      <c r="B47" s="7">
        <v>60016</v>
      </c>
      <c r="C47" s="8" t="s">
        <v>44</v>
      </c>
      <c r="D47" s="9">
        <f>E47+F47</f>
        <v>17500</v>
      </c>
      <c r="E47" s="9">
        <v>14000</v>
      </c>
      <c r="F47" s="9">
        <v>3500</v>
      </c>
      <c r="G47" s="9">
        <f>H47+I47</f>
        <v>4303.73</v>
      </c>
      <c r="H47" s="9">
        <v>4303.73</v>
      </c>
      <c r="I47" s="9">
        <v>0</v>
      </c>
    </row>
    <row r="48" spans="1:9" ht="12.75">
      <c r="A48" s="7">
        <v>921</v>
      </c>
      <c r="B48" s="7">
        <v>92109</v>
      </c>
      <c r="C48" s="8" t="s">
        <v>45</v>
      </c>
      <c r="D48" s="9">
        <f>E48+F48</f>
        <v>10000</v>
      </c>
      <c r="E48" s="9">
        <v>10000</v>
      </c>
      <c r="F48" s="9">
        <v>0</v>
      </c>
      <c r="G48" s="9">
        <f>H48+I48</f>
        <v>0</v>
      </c>
      <c r="H48" s="9">
        <v>0</v>
      </c>
      <c r="I48" s="9">
        <v>0</v>
      </c>
    </row>
    <row r="49" spans="1:9" ht="12.75">
      <c r="A49" s="7">
        <v>921</v>
      </c>
      <c r="B49" s="7">
        <v>92109</v>
      </c>
      <c r="C49" s="8" t="s">
        <v>46</v>
      </c>
      <c r="D49" s="9">
        <f>E49+F49</f>
        <v>2500</v>
      </c>
      <c r="E49" s="9">
        <v>1000</v>
      </c>
      <c r="F49" s="9">
        <v>1500</v>
      </c>
      <c r="G49" s="9">
        <f>H49+I49</f>
        <v>0</v>
      </c>
      <c r="H49" s="9">
        <v>0</v>
      </c>
      <c r="I49" s="9">
        <v>0</v>
      </c>
    </row>
    <row r="50" spans="1:9" ht="12.75">
      <c r="A50" s="384" t="s">
        <v>47</v>
      </c>
      <c r="B50" s="385"/>
      <c r="C50" s="386"/>
      <c r="D50" s="6">
        <f aca="true" t="shared" si="7" ref="D50:I50">D10+D13+D15+D17+D20+D23+D26+D28+D30+D32+D34+D36+D38+D40+D42+D46</f>
        <v>1162000</v>
      </c>
      <c r="E50" s="6">
        <f t="shared" si="7"/>
        <v>439302.42999999993</v>
      </c>
      <c r="F50" s="6">
        <f t="shared" si="7"/>
        <v>722697.57</v>
      </c>
      <c r="G50" s="6">
        <f t="shared" si="7"/>
        <v>642286.75</v>
      </c>
      <c r="H50" s="6">
        <f t="shared" si="7"/>
        <v>352384.51999999996</v>
      </c>
      <c r="I50" s="6">
        <f t="shared" si="7"/>
        <v>289902.2299999999</v>
      </c>
    </row>
  </sheetData>
  <sheetProtection/>
  <mergeCells count="25">
    <mergeCell ref="A50:C50"/>
    <mergeCell ref="A36:C36"/>
    <mergeCell ref="A38:C38"/>
    <mergeCell ref="A40:C40"/>
    <mergeCell ref="A42:C42"/>
    <mergeCell ref="A26:C26"/>
    <mergeCell ref="A28:C28"/>
    <mergeCell ref="A30:C30"/>
    <mergeCell ref="A32:C32"/>
    <mergeCell ref="A34:C34"/>
    <mergeCell ref="A46:C46"/>
    <mergeCell ref="A10:C10"/>
    <mergeCell ref="A13:C13"/>
    <mergeCell ref="A15:C15"/>
    <mergeCell ref="A17:C17"/>
    <mergeCell ref="A20:C20"/>
    <mergeCell ref="A23:C23"/>
    <mergeCell ref="H7:I7"/>
    <mergeCell ref="A2:C2"/>
    <mergeCell ref="A3:C3"/>
    <mergeCell ref="A4:C4"/>
    <mergeCell ref="A7:A8"/>
    <mergeCell ref="B7:B8"/>
    <mergeCell ref="C7:C8"/>
    <mergeCell ref="E7:F7"/>
  </mergeCells>
  <printOptions/>
  <pageMargins left="0.7480314960629921" right="0.5118110236220472" top="0.984251968503937" bottom="0.984251968503937" header="0.5118110236220472" footer="0.5118110236220472"/>
  <pageSetup firstPageNumber="1" useFirstPageNumber="1" fitToHeight="2" fitToWidth="1" horizontalDpi="600" verticalDpi="600" orientation="landscape" paperSize="9" r:id="rId1"/>
  <headerFooter alignWithMargins="0">
    <oddFooter>&amp;CStrona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view="pageBreakPreview" zoomScale="90" zoomScaleSheetLayoutView="90" zoomScalePageLayoutView="0" workbookViewId="0" topLeftCell="A1">
      <pane ySplit="6" topLeftCell="A16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3.7109375" style="13" customWidth="1"/>
    <col min="2" max="2" width="5.7109375" style="13" customWidth="1"/>
    <col min="3" max="3" width="8.00390625" style="13" customWidth="1"/>
    <col min="4" max="4" width="54.7109375" style="13" customWidth="1"/>
    <col min="5" max="5" width="19.421875" style="13" customWidth="1"/>
    <col min="6" max="6" width="13.140625" style="13" customWidth="1"/>
    <col min="7" max="7" width="16.28125" style="13" customWidth="1"/>
    <col min="8" max="8" width="14.28125" style="13" customWidth="1"/>
    <col min="9" max="9" width="14.421875" style="13" customWidth="1"/>
    <col min="10" max="10" width="14.140625" style="13" customWidth="1"/>
    <col min="11" max="12" width="14.00390625" style="13" customWidth="1"/>
    <col min="13" max="13" width="10.8515625" style="13" customWidth="1"/>
    <col min="14" max="14" width="11.140625" style="13" customWidth="1"/>
    <col min="15" max="16384" width="9.140625" style="13" customWidth="1"/>
  </cols>
  <sheetData>
    <row r="1" spans="1:12" ht="18.75">
      <c r="A1" s="316" t="s">
        <v>197</v>
      </c>
      <c r="B1" s="316"/>
      <c r="C1" s="316"/>
      <c r="D1" s="316"/>
      <c r="E1" s="316"/>
      <c r="F1" s="316"/>
      <c r="G1" s="316"/>
      <c r="H1" s="316"/>
      <c r="I1" s="316"/>
      <c r="L1" s="14" t="s">
        <v>200</v>
      </c>
    </row>
    <row r="2" spans="1:12" ht="18.75">
      <c r="A2" s="316" t="s">
        <v>198</v>
      </c>
      <c r="B2" s="316"/>
      <c r="C2" s="316"/>
      <c r="D2" s="316"/>
      <c r="E2" s="316"/>
      <c r="F2" s="316"/>
      <c r="G2" s="316"/>
      <c r="H2" s="316"/>
      <c r="I2" s="316"/>
      <c r="L2" s="102" t="s">
        <v>662</v>
      </c>
    </row>
    <row r="3" spans="1:12" ht="18.75">
      <c r="A3" s="316" t="s">
        <v>199</v>
      </c>
      <c r="B3" s="316"/>
      <c r="C3" s="316"/>
      <c r="D3" s="316"/>
      <c r="E3" s="316"/>
      <c r="F3" s="316"/>
      <c r="G3" s="316"/>
      <c r="H3" s="316"/>
      <c r="I3" s="316"/>
      <c r="L3" s="14"/>
    </row>
    <row r="4" spans="1:12" ht="16.5" customHeight="1">
      <c r="A4" s="93"/>
      <c r="B4" s="93"/>
      <c r="C4" s="93"/>
      <c r="D4" s="93"/>
      <c r="E4" s="93"/>
      <c r="F4" s="93"/>
      <c r="G4" s="93"/>
      <c r="H4" s="93"/>
      <c r="J4" s="94"/>
      <c r="K4" s="94"/>
      <c r="L4" s="32" t="s">
        <v>84</v>
      </c>
    </row>
    <row r="5" spans="1:12" ht="64.5" customHeight="1">
      <c r="A5" s="397" t="s">
        <v>96</v>
      </c>
      <c r="B5" s="397" t="s">
        <v>8</v>
      </c>
      <c r="C5" s="397" t="s">
        <v>9</v>
      </c>
      <c r="D5" s="399" t="s">
        <v>188</v>
      </c>
      <c r="E5" s="399" t="s">
        <v>189</v>
      </c>
      <c r="F5" s="399" t="s">
        <v>190</v>
      </c>
      <c r="G5" s="153"/>
      <c r="H5" s="399" t="s">
        <v>191</v>
      </c>
      <c r="I5" s="401" t="s">
        <v>192</v>
      </c>
      <c r="J5" s="401"/>
      <c r="K5" s="401"/>
      <c r="L5" s="401"/>
    </row>
    <row r="6" spans="1:12" ht="25.5" customHeight="1">
      <c r="A6" s="398"/>
      <c r="B6" s="398"/>
      <c r="C6" s="398"/>
      <c r="D6" s="400"/>
      <c r="E6" s="400"/>
      <c r="F6" s="400"/>
      <c r="G6" s="154"/>
      <c r="H6" s="400"/>
      <c r="I6" s="44" t="s">
        <v>193</v>
      </c>
      <c r="J6" s="44" t="s">
        <v>194</v>
      </c>
      <c r="K6" s="44" t="s">
        <v>195</v>
      </c>
      <c r="L6" s="44" t="s">
        <v>196</v>
      </c>
    </row>
    <row r="7" spans="1:12" s="96" customFormat="1" ht="13.5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</row>
    <row r="8" spans="1:14" s="41" customFormat="1" ht="18" customHeight="1">
      <c r="A8" s="388" t="s">
        <v>100</v>
      </c>
      <c r="B8" s="408" t="s">
        <v>201</v>
      </c>
      <c r="C8" s="408" t="s">
        <v>202</v>
      </c>
      <c r="D8" s="389" t="s">
        <v>203</v>
      </c>
      <c r="E8" s="389" t="s">
        <v>594</v>
      </c>
      <c r="F8" s="392" t="s">
        <v>204</v>
      </c>
      <c r="G8" s="257" t="s">
        <v>242</v>
      </c>
      <c r="H8" s="255">
        <v>1345000</v>
      </c>
      <c r="I8" s="255">
        <v>1280776</v>
      </c>
      <c r="J8" s="255"/>
      <c r="K8" s="255"/>
      <c r="L8" s="255"/>
      <c r="M8" s="258"/>
      <c r="N8" s="258"/>
    </row>
    <row r="9" spans="1:14" s="41" customFormat="1" ht="18" customHeight="1">
      <c r="A9" s="388"/>
      <c r="B9" s="409"/>
      <c r="C9" s="409"/>
      <c r="D9" s="390"/>
      <c r="E9" s="395"/>
      <c r="F9" s="393"/>
      <c r="G9" s="256" t="s">
        <v>632</v>
      </c>
      <c r="H9" s="255">
        <v>1050000</v>
      </c>
      <c r="I9" s="255">
        <v>999412</v>
      </c>
      <c r="J9" s="255"/>
      <c r="K9" s="255"/>
      <c r="L9" s="255"/>
      <c r="M9" s="258"/>
      <c r="N9" s="258"/>
    </row>
    <row r="10" spans="1:14" s="41" customFormat="1" ht="18" customHeight="1">
      <c r="A10" s="388"/>
      <c r="B10" s="410"/>
      <c r="C10" s="410"/>
      <c r="D10" s="391"/>
      <c r="E10" s="396"/>
      <c r="F10" s="394"/>
      <c r="G10" s="256" t="s">
        <v>633</v>
      </c>
      <c r="H10" s="255"/>
      <c r="I10" s="255">
        <f>988215.82-4800-574.35</f>
        <v>982841.47</v>
      </c>
      <c r="J10" s="255"/>
      <c r="K10" s="255"/>
      <c r="L10" s="255"/>
      <c r="M10" s="258"/>
      <c r="N10" s="258"/>
    </row>
    <row r="11" spans="1:14" s="41" customFormat="1" ht="18" customHeight="1">
      <c r="A11" s="388" t="s">
        <v>103</v>
      </c>
      <c r="B11" s="408" t="s">
        <v>201</v>
      </c>
      <c r="C11" s="408" t="s">
        <v>202</v>
      </c>
      <c r="D11" s="389" t="s">
        <v>203</v>
      </c>
      <c r="E11" s="389" t="s">
        <v>594</v>
      </c>
      <c r="F11" s="392" t="s">
        <v>214</v>
      </c>
      <c r="G11" s="257" t="s">
        <v>242</v>
      </c>
      <c r="H11" s="255"/>
      <c r="I11" s="255"/>
      <c r="J11" s="255"/>
      <c r="K11" s="255"/>
      <c r="L11" s="255"/>
      <c r="M11" s="258"/>
      <c r="N11" s="258"/>
    </row>
    <row r="12" spans="1:14" s="41" customFormat="1" ht="18" customHeight="1">
      <c r="A12" s="388"/>
      <c r="B12" s="409"/>
      <c r="C12" s="409"/>
      <c r="D12" s="390"/>
      <c r="E12" s="395"/>
      <c r="F12" s="393"/>
      <c r="G12" s="256" t="s">
        <v>632</v>
      </c>
      <c r="H12" s="255">
        <v>1020000</v>
      </c>
      <c r="I12" s="255">
        <v>20000</v>
      </c>
      <c r="J12" s="255">
        <v>500000</v>
      </c>
      <c r="K12" s="255">
        <v>500000</v>
      </c>
      <c r="L12" s="255"/>
      <c r="M12" s="258"/>
      <c r="N12" s="258"/>
    </row>
    <row r="13" spans="1:14" s="41" customFormat="1" ht="18" customHeight="1">
      <c r="A13" s="388"/>
      <c r="B13" s="410"/>
      <c r="C13" s="410"/>
      <c r="D13" s="391"/>
      <c r="E13" s="396"/>
      <c r="F13" s="394"/>
      <c r="G13" s="256" t="s">
        <v>633</v>
      </c>
      <c r="H13" s="255"/>
      <c r="I13" s="255">
        <v>4800</v>
      </c>
      <c r="J13" s="255"/>
      <c r="K13" s="255"/>
      <c r="L13" s="255"/>
      <c r="M13" s="258"/>
      <c r="N13" s="258"/>
    </row>
    <row r="14" spans="1:14" s="41" customFormat="1" ht="18" customHeight="1">
      <c r="A14" s="388" t="s">
        <v>105</v>
      </c>
      <c r="B14" s="392">
        <v>400</v>
      </c>
      <c r="C14" s="392">
        <v>40002</v>
      </c>
      <c r="D14" s="389" t="s">
        <v>205</v>
      </c>
      <c r="E14" s="389" t="s">
        <v>594</v>
      </c>
      <c r="F14" s="392" t="s">
        <v>710</v>
      </c>
      <c r="G14" s="257" t="s">
        <v>242</v>
      </c>
      <c r="H14" s="255">
        <v>10000000</v>
      </c>
      <c r="I14" s="255">
        <v>3580000</v>
      </c>
      <c r="J14" s="255">
        <v>2000000</v>
      </c>
      <c r="K14" s="255">
        <v>2000000</v>
      </c>
      <c r="L14" s="255">
        <v>2200000</v>
      </c>
      <c r="M14" s="258"/>
      <c r="N14" s="258"/>
    </row>
    <row r="15" spans="1:14" s="41" customFormat="1" ht="18" customHeight="1">
      <c r="A15" s="388"/>
      <c r="B15" s="393"/>
      <c r="C15" s="393"/>
      <c r="D15" s="390"/>
      <c r="E15" s="395"/>
      <c r="F15" s="393"/>
      <c r="G15" s="256" t="s">
        <v>632</v>
      </c>
      <c r="H15" s="255">
        <v>8300000</v>
      </c>
      <c r="I15" s="255">
        <v>300000</v>
      </c>
      <c r="J15" s="255">
        <v>3000000</v>
      </c>
      <c r="K15" s="255">
        <v>3000000</v>
      </c>
      <c r="L15" s="255">
        <v>2000000</v>
      </c>
      <c r="M15" s="258"/>
      <c r="N15" s="258"/>
    </row>
    <row r="16" spans="1:14" s="41" customFormat="1" ht="18" customHeight="1">
      <c r="A16" s="388"/>
      <c r="B16" s="394"/>
      <c r="C16" s="394"/>
      <c r="D16" s="391"/>
      <c r="E16" s="396"/>
      <c r="F16" s="394"/>
      <c r="G16" s="256" t="s">
        <v>633</v>
      </c>
      <c r="H16" s="255"/>
      <c r="I16" s="255">
        <v>235988.54</v>
      </c>
      <c r="J16" s="255"/>
      <c r="K16" s="255"/>
      <c r="L16" s="255"/>
      <c r="M16" s="258"/>
      <c r="N16" s="258"/>
    </row>
    <row r="17" spans="1:14" s="41" customFormat="1" ht="18" customHeight="1">
      <c r="A17" s="388" t="s">
        <v>108</v>
      </c>
      <c r="B17" s="392">
        <v>600</v>
      </c>
      <c r="C17" s="392">
        <v>60016</v>
      </c>
      <c r="D17" s="392" t="s">
        <v>206</v>
      </c>
      <c r="E17" s="389" t="s">
        <v>594</v>
      </c>
      <c r="F17" s="392" t="s">
        <v>710</v>
      </c>
      <c r="G17" s="257" t="s">
        <v>242</v>
      </c>
      <c r="H17" s="255">
        <v>30500000</v>
      </c>
      <c r="I17" s="255">
        <v>7510000</v>
      </c>
      <c r="J17" s="255">
        <v>7000000</v>
      </c>
      <c r="K17" s="255">
        <v>7000000</v>
      </c>
      <c r="L17" s="255">
        <v>8000000</v>
      </c>
      <c r="M17" s="258"/>
      <c r="N17" s="258"/>
    </row>
    <row r="18" spans="1:14" s="41" customFormat="1" ht="18" customHeight="1">
      <c r="A18" s="388"/>
      <c r="B18" s="393"/>
      <c r="C18" s="393"/>
      <c r="D18" s="393"/>
      <c r="E18" s="395"/>
      <c r="F18" s="393"/>
      <c r="G18" s="256" t="s">
        <v>632</v>
      </c>
      <c r="H18" s="255">
        <v>20616667</v>
      </c>
      <c r="I18" s="255">
        <v>5900000</v>
      </c>
      <c r="J18" s="255">
        <v>5900000</v>
      </c>
      <c r="K18" s="255">
        <v>4816667</v>
      </c>
      <c r="L18" s="255">
        <v>4000000</v>
      </c>
      <c r="M18" s="258"/>
      <c r="N18" s="258"/>
    </row>
    <row r="19" spans="1:14" s="41" customFormat="1" ht="18" customHeight="1">
      <c r="A19" s="388"/>
      <c r="B19" s="394"/>
      <c r="C19" s="394"/>
      <c r="D19" s="394"/>
      <c r="E19" s="396"/>
      <c r="F19" s="394"/>
      <c r="G19" s="256" t="s">
        <v>633</v>
      </c>
      <c r="H19" s="255"/>
      <c r="I19" s="255">
        <v>5851958.72</v>
      </c>
      <c r="J19" s="255"/>
      <c r="K19" s="255"/>
      <c r="L19" s="255"/>
      <c r="M19" s="258"/>
      <c r="N19" s="258"/>
    </row>
    <row r="20" spans="1:14" s="41" customFormat="1" ht="19.5" customHeight="1">
      <c r="A20" s="388" t="s">
        <v>111</v>
      </c>
      <c r="B20" s="392">
        <v>600</v>
      </c>
      <c r="C20" s="392">
        <v>60041</v>
      </c>
      <c r="D20" s="389" t="s">
        <v>681</v>
      </c>
      <c r="E20" s="389" t="s">
        <v>594</v>
      </c>
      <c r="F20" s="392" t="s">
        <v>238</v>
      </c>
      <c r="G20" s="257" t="s">
        <v>242</v>
      </c>
      <c r="H20" s="255">
        <v>10000000</v>
      </c>
      <c r="I20" s="255">
        <v>1500000</v>
      </c>
      <c r="J20" s="255">
        <v>8450000</v>
      </c>
      <c r="K20" s="255"/>
      <c r="L20" s="255"/>
      <c r="M20" s="258"/>
      <c r="N20" s="258"/>
    </row>
    <row r="21" spans="1:14" s="41" customFormat="1" ht="19.5" customHeight="1">
      <c r="A21" s="388"/>
      <c r="B21" s="393"/>
      <c r="C21" s="393"/>
      <c r="D21" s="390"/>
      <c r="E21" s="395"/>
      <c r="F21" s="393"/>
      <c r="G21" s="256" t="s">
        <v>632</v>
      </c>
      <c r="H21" s="255">
        <v>10150000</v>
      </c>
      <c r="I21" s="255">
        <v>150000</v>
      </c>
      <c r="J21" s="255">
        <v>10000000</v>
      </c>
      <c r="K21" s="255"/>
      <c r="L21" s="255"/>
      <c r="M21" s="258"/>
      <c r="N21" s="258"/>
    </row>
    <row r="22" spans="1:14" s="41" customFormat="1" ht="19.5" customHeight="1">
      <c r="A22" s="388"/>
      <c r="B22" s="394"/>
      <c r="C22" s="394"/>
      <c r="D22" s="391"/>
      <c r="E22" s="396"/>
      <c r="F22" s="394"/>
      <c r="G22" s="256" t="s">
        <v>633</v>
      </c>
      <c r="H22" s="255"/>
      <c r="I22" s="255">
        <v>104577.12</v>
      </c>
      <c r="J22" s="255"/>
      <c r="K22" s="255"/>
      <c r="L22" s="255"/>
      <c r="M22" s="258"/>
      <c r="N22" s="258"/>
    </row>
    <row r="23" spans="1:14" s="41" customFormat="1" ht="19.5" customHeight="1">
      <c r="A23" s="388" t="s">
        <v>114</v>
      </c>
      <c r="B23" s="392">
        <v>630</v>
      </c>
      <c r="C23" s="392">
        <v>63003</v>
      </c>
      <c r="D23" s="389" t="s">
        <v>715</v>
      </c>
      <c r="E23" s="389" t="s">
        <v>594</v>
      </c>
      <c r="F23" s="392" t="s">
        <v>596</v>
      </c>
      <c r="G23" s="257" t="s">
        <v>242</v>
      </c>
      <c r="H23" s="255">
        <v>5000000</v>
      </c>
      <c r="I23" s="255">
        <v>4730000</v>
      </c>
      <c r="J23" s="255"/>
      <c r="K23" s="255"/>
      <c r="L23" s="255"/>
      <c r="M23" s="258"/>
      <c r="N23" s="258"/>
    </row>
    <row r="24" spans="1:14" s="41" customFormat="1" ht="19.5" customHeight="1">
      <c r="A24" s="388"/>
      <c r="B24" s="393"/>
      <c r="C24" s="393"/>
      <c r="D24" s="390"/>
      <c r="E24" s="395"/>
      <c r="F24" s="393"/>
      <c r="G24" s="256" t="s">
        <v>632</v>
      </c>
      <c r="H24" s="255">
        <v>9400000</v>
      </c>
      <c r="I24" s="255">
        <v>8307508.24</v>
      </c>
      <c r="J24" s="255">
        <v>350000</v>
      </c>
      <c r="K24" s="255">
        <v>650000</v>
      </c>
      <c r="L24" s="255"/>
      <c r="M24" s="258">
        <f>K24+J24+I24</f>
        <v>9307508.24</v>
      </c>
      <c r="N24" s="258"/>
    </row>
    <row r="25" spans="1:14" s="41" customFormat="1" ht="19.5" customHeight="1">
      <c r="A25" s="388"/>
      <c r="B25" s="394"/>
      <c r="C25" s="394"/>
      <c r="D25" s="391"/>
      <c r="E25" s="396"/>
      <c r="F25" s="394"/>
      <c r="G25" s="256" t="s">
        <v>633</v>
      </c>
      <c r="H25" s="255"/>
      <c r="I25" s="255">
        <v>8307508.24</v>
      </c>
      <c r="J25" s="255"/>
      <c r="K25" s="255"/>
      <c r="L25" s="255"/>
      <c r="M25" s="258"/>
      <c r="N25" s="258"/>
    </row>
    <row r="26" spans="1:14" s="41" customFormat="1" ht="19.5" customHeight="1">
      <c r="A26" s="388" t="s">
        <v>117</v>
      </c>
      <c r="B26" s="392">
        <v>630</v>
      </c>
      <c r="C26" s="392">
        <v>63003</v>
      </c>
      <c r="D26" s="392" t="s">
        <v>210</v>
      </c>
      <c r="E26" s="389" t="s">
        <v>594</v>
      </c>
      <c r="F26" s="392" t="s">
        <v>212</v>
      </c>
      <c r="G26" s="257" t="s">
        <v>242</v>
      </c>
      <c r="H26" s="255">
        <v>600000</v>
      </c>
      <c r="I26" s="255">
        <v>500000</v>
      </c>
      <c r="J26" s="255"/>
      <c r="K26" s="255"/>
      <c r="L26" s="255"/>
      <c r="M26" s="258"/>
      <c r="N26" s="258"/>
    </row>
    <row r="27" spans="1:14" s="41" customFormat="1" ht="19.5" customHeight="1">
      <c r="A27" s="388"/>
      <c r="B27" s="393"/>
      <c r="C27" s="393"/>
      <c r="D27" s="393"/>
      <c r="E27" s="395"/>
      <c r="F27" s="393"/>
      <c r="G27" s="256" t="s">
        <v>632</v>
      </c>
      <c r="H27" s="255">
        <v>600000</v>
      </c>
      <c r="I27" s="255">
        <v>549690</v>
      </c>
      <c r="J27" s="255"/>
      <c r="K27" s="255"/>
      <c r="L27" s="255"/>
      <c r="M27" s="258"/>
      <c r="N27" s="258"/>
    </row>
    <row r="28" spans="1:14" s="41" customFormat="1" ht="19.5" customHeight="1">
      <c r="A28" s="388"/>
      <c r="B28" s="394"/>
      <c r="C28" s="394"/>
      <c r="D28" s="394"/>
      <c r="E28" s="396"/>
      <c r="F28" s="394"/>
      <c r="G28" s="256" t="s">
        <v>633</v>
      </c>
      <c r="H28" s="255"/>
      <c r="I28" s="255">
        <v>546897.05</v>
      </c>
      <c r="J28" s="255"/>
      <c r="K28" s="255"/>
      <c r="L28" s="255"/>
      <c r="M28" s="258"/>
      <c r="N28" s="258"/>
    </row>
    <row r="29" spans="1:14" s="41" customFormat="1" ht="19.5" customHeight="1">
      <c r="A29" s="388" t="s">
        <v>120</v>
      </c>
      <c r="B29" s="392">
        <v>700</v>
      </c>
      <c r="C29" s="392">
        <v>70005</v>
      </c>
      <c r="D29" s="392" t="s">
        <v>213</v>
      </c>
      <c r="E29" s="389" t="s">
        <v>594</v>
      </c>
      <c r="F29" s="403" t="s">
        <v>710</v>
      </c>
      <c r="G29" s="257" t="s">
        <v>242</v>
      </c>
      <c r="H29" s="255">
        <v>15000000</v>
      </c>
      <c r="I29" s="255">
        <v>5000000</v>
      </c>
      <c r="J29" s="255">
        <v>4000000</v>
      </c>
      <c r="K29" s="255">
        <v>6000000</v>
      </c>
      <c r="L29" s="255"/>
      <c r="M29" s="258"/>
      <c r="N29" s="258"/>
    </row>
    <row r="30" spans="1:14" s="41" customFormat="1" ht="19.5" customHeight="1">
      <c r="A30" s="388"/>
      <c r="B30" s="393"/>
      <c r="C30" s="393"/>
      <c r="D30" s="393"/>
      <c r="E30" s="395"/>
      <c r="F30" s="404"/>
      <c r="G30" s="256" t="s">
        <v>632</v>
      </c>
      <c r="H30" s="255">
        <v>11390000</v>
      </c>
      <c r="I30" s="255">
        <v>100000</v>
      </c>
      <c r="J30" s="255">
        <v>4290000</v>
      </c>
      <c r="K30" s="255">
        <v>4000000</v>
      </c>
      <c r="L30" s="255">
        <v>3000000</v>
      </c>
      <c r="M30" s="258"/>
      <c r="N30" s="258"/>
    </row>
    <row r="31" spans="1:14" s="41" customFormat="1" ht="19.5" customHeight="1">
      <c r="A31" s="388"/>
      <c r="B31" s="394"/>
      <c r="C31" s="394"/>
      <c r="D31" s="394"/>
      <c r="E31" s="396"/>
      <c r="F31" s="405"/>
      <c r="G31" s="256" t="s">
        <v>633</v>
      </c>
      <c r="H31" s="255"/>
      <c r="I31" s="255">
        <v>37111.26</v>
      </c>
      <c r="J31" s="255"/>
      <c r="K31" s="255"/>
      <c r="L31" s="255"/>
      <c r="M31" s="258"/>
      <c r="N31" s="258"/>
    </row>
    <row r="32" spans="1:14" s="41" customFormat="1" ht="18" customHeight="1">
      <c r="A32" s="388" t="s">
        <v>684</v>
      </c>
      <c r="B32" s="392">
        <v>750</v>
      </c>
      <c r="C32" s="392">
        <v>75023</v>
      </c>
      <c r="D32" s="389" t="s">
        <v>230</v>
      </c>
      <c r="E32" s="389" t="s">
        <v>594</v>
      </c>
      <c r="F32" s="403" t="s">
        <v>207</v>
      </c>
      <c r="G32" s="257" t="s">
        <v>242</v>
      </c>
      <c r="H32" s="172">
        <v>550000</v>
      </c>
      <c r="I32" s="172">
        <v>95000</v>
      </c>
      <c r="J32" s="255">
        <v>390000</v>
      </c>
      <c r="K32" s="255"/>
      <c r="L32" s="255"/>
      <c r="M32" s="258"/>
      <c r="N32" s="258"/>
    </row>
    <row r="33" spans="1:14" s="41" customFormat="1" ht="18" customHeight="1">
      <c r="A33" s="388"/>
      <c r="B33" s="393"/>
      <c r="C33" s="393"/>
      <c r="D33" s="390"/>
      <c r="E33" s="395"/>
      <c r="F33" s="404"/>
      <c r="G33" s="256" t="s">
        <v>632</v>
      </c>
      <c r="H33" s="172">
        <v>350000</v>
      </c>
      <c r="I33" s="172">
        <v>95000</v>
      </c>
      <c r="J33" s="255">
        <v>100000</v>
      </c>
      <c r="K33" s="255"/>
      <c r="L33" s="255"/>
      <c r="M33" s="258"/>
      <c r="N33" s="258"/>
    </row>
    <row r="34" spans="1:14" s="41" customFormat="1" ht="18" customHeight="1">
      <c r="A34" s="388"/>
      <c r="B34" s="394"/>
      <c r="C34" s="394"/>
      <c r="D34" s="391"/>
      <c r="E34" s="396"/>
      <c r="F34" s="405"/>
      <c r="G34" s="256" t="s">
        <v>633</v>
      </c>
      <c r="H34" s="172"/>
      <c r="I34" s="172">
        <v>10370</v>
      </c>
      <c r="J34" s="255"/>
      <c r="K34" s="255"/>
      <c r="L34" s="255"/>
      <c r="M34" s="258"/>
      <c r="N34" s="258"/>
    </row>
    <row r="35" spans="1:14" s="41" customFormat="1" ht="18" customHeight="1">
      <c r="A35" s="388" t="s">
        <v>688</v>
      </c>
      <c r="B35" s="392">
        <v>754</v>
      </c>
      <c r="C35" s="392">
        <v>75412</v>
      </c>
      <c r="D35" s="392" t="s">
        <v>627</v>
      </c>
      <c r="E35" s="402" t="s">
        <v>626</v>
      </c>
      <c r="F35" s="392" t="s">
        <v>214</v>
      </c>
      <c r="G35" s="257" t="s">
        <v>242</v>
      </c>
      <c r="H35" s="255">
        <v>1500000</v>
      </c>
      <c r="I35" s="255">
        <v>500000</v>
      </c>
      <c r="J35" s="172">
        <v>500000</v>
      </c>
      <c r="K35" s="255">
        <v>500000</v>
      </c>
      <c r="L35" s="172"/>
      <c r="M35" s="258"/>
      <c r="N35" s="258"/>
    </row>
    <row r="36" spans="1:14" s="41" customFormat="1" ht="18" customHeight="1">
      <c r="A36" s="388"/>
      <c r="B36" s="393"/>
      <c r="C36" s="393"/>
      <c r="D36" s="393"/>
      <c r="E36" s="395"/>
      <c r="F36" s="393"/>
      <c r="G36" s="256" t="s">
        <v>632</v>
      </c>
      <c r="H36" s="255">
        <v>0</v>
      </c>
      <c r="I36" s="255">
        <v>0</v>
      </c>
      <c r="J36" s="172">
        <v>0</v>
      </c>
      <c r="K36" s="255">
        <v>0</v>
      </c>
      <c r="L36" s="172"/>
      <c r="M36" s="258"/>
      <c r="N36" s="258"/>
    </row>
    <row r="37" spans="1:14" s="41" customFormat="1" ht="18" customHeight="1">
      <c r="A37" s="388"/>
      <c r="B37" s="394"/>
      <c r="C37" s="394"/>
      <c r="D37" s="394"/>
      <c r="E37" s="396"/>
      <c r="F37" s="394"/>
      <c r="G37" s="256" t="s">
        <v>633</v>
      </c>
      <c r="H37" s="255">
        <v>0</v>
      </c>
      <c r="I37" s="255">
        <v>0</v>
      </c>
      <c r="J37" s="172">
        <v>0</v>
      </c>
      <c r="K37" s="255">
        <v>0</v>
      </c>
      <c r="L37" s="172"/>
      <c r="M37" s="258"/>
      <c r="N37" s="258"/>
    </row>
    <row r="38" spans="1:14" s="41" customFormat="1" ht="18" customHeight="1">
      <c r="A38" s="388" t="s">
        <v>689</v>
      </c>
      <c r="B38" s="392">
        <v>801</v>
      </c>
      <c r="C38" s="392">
        <v>80101</v>
      </c>
      <c r="D38" s="392" t="s">
        <v>630</v>
      </c>
      <c r="E38" s="389" t="s">
        <v>594</v>
      </c>
      <c r="F38" s="392" t="s">
        <v>207</v>
      </c>
      <c r="G38" s="257" t="s">
        <v>242</v>
      </c>
      <c r="H38" s="255">
        <v>1050000</v>
      </c>
      <c r="I38" s="255">
        <v>500000</v>
      </c>
      <c r="J38" s="255">
        <v>500000</v>
      </c>
      <c r="K38" s="255"/>
      <c r="L38" s="255"/>
      <c r="M38" s="258"/>
      <c r="N38" s="258"/>
    </row>
    <row r="39" spans="1:14" s="41" customFormat="1" ht="18" customHeight="1">
      <c r="A39" s="388"/>
      <c r="B39" s="393"/>
      <c r="C39" s="393"/>
      <c r="D39" s="393"/>
      <c r="E39" s="395"/>
      <c r="F39" s="393"/>
      <c r="G39" s="256" t="s">
        <v>632</v>
      </c>
      <c r="H39" s="255">
        <v>1040000</v>
      </c>
      <c r="I39" s="255">
        <v>376884.3</v>
      </c>
      <c r="J39" s="255">
        <v>620000</v>
      </c>
      <c r="K39" s="255"/>
      <c r="L39" s="255"/>
      <c r="M39" s="258"/>
      <c r="N39" s="258"/>
    </row>
    <row r="40" spans="1:14" s="41" customFormat="1" ht="18" customHeight="1">
      <c r="A40" s="388"/>
      <c r="B40" s="394"/>
      <c r="C40" s="394"/>
      <c r="D40" s="394"/>
      <c r="E40" s="396"/>
      <c r="F40" s="394"/>
      <c r="G40" s="256" t="s">
        <v>633</v>
      </c>
      <c r="H40" s="255"/>
      <c r="I40" s="255">
        <v>375156.66</v>
      </c>
      <c r="J40" s="255"/>
      <c r="K40" s="255"/>
      <c r="L40" s="255"/>
      <c r="M40" s="258"/>
      <c r="N40" s="258"/>
    </row>
    <row r="41" spans="1:14" s="41" customFormat="1" ht="18" customHeight="1">
      <c r="A41" s="388" t="s">
        <v>690</v>
      </c>
      <c r="B41" s="392">
        <v>801</v>
      </c>
      <c r="C41" s="392">
        <v>80101</v>
      </c>
      <c r="D41" s="389" t="s">
        <v>215</v>
      </c>
      <c r="E41" s="389" t="s">
        <v>594</v>
      </c>
      <c r="F41" s="392" t="s">
        <v>211</v>
      </c>
      <c r="G41" s="257" t="s">
        <v>242</v>
      </c>
      <c r="H41" s="255">
        <v>900000</v>
      </c>
      <c r="I41" s="255">
        <v>850000</v>
      </c>
      <c r="J41" s="255"/>
      <c r="K41" s="255"/>
      <c r="L41" s="255"/>
      <c r="M41" s="258"/>
      <c r="N41" s="258"/>
    </row>
    <row r="42" spans="1:14" s="41" customFormat="1" ht="18" customHeight="1">
      <c r="A42" s="388"/>
      <c r="B42" s="393"/>
      <c r="C42" s="393"/>
      <c r="D42" s="390"/>
      <c r="E42" s="395"/>
      <c r="F42" s="393"/>
      <c r="G42" s="256" t="s">
        <v>632</v>
      </c>
      <c r="H42" s="255">
        <v>800000</v>
      </c>
      <c r="I42" s="255">
        <v>745000</v>
      </c>
      <c r="J42" s="255"/>
      <c r="K42" s="255"/>
      <c r="L42" s="255"/>
      <c r="M42" s="258"/>
      <c r="N42" s="258"/>
    </row>
    <row r="43" spans="1:14" s="41" customFormat="1" ht="18" customHeight="1">
      <c r="A43" s="388"/>
      <c r="B43" s="394"/>
      <c r="C43" s="394"/>
      <c r="D43" s="391"/>
      <c r="E43" s="396"/>
      <c r="F43" s="394"/>
      <c r="G43" s="256" t="s">
        <v>633</v>
      </c>
      <c r="H43" s="255"/>
      <c r="I43" s="255">
        <v>742568.89</v>
      </c>
      <c r="J43" s="255"/>
      <c r="K43" s="255"/>
      <c r="L43" s="255"/>
      <c r="M43" s="258"/>
      <c r="N43" s="258"/>
    </row>
    <row r="44" spans="1:14" s="41" customFormat="1" ht="19.5" customHeight="1">
      <c r="A44" s="388" t="s">
        <v>691</v>
      </c>
      <c r="B44" s="392">
        <v>801</v>
      </c>
      <c r="C44" s="392">
        <v>80101</v>
      </c>
      <c r="D44" s="389" t="s">
        <v>216</v>
      </c>
      <c r="E44" s="389" t="s">
        <v>594</v>
      </c>
      <c r="F44" s="403" t="s">
        <v>214</v>
      </c>
      <c r="G44" s="257" t="s">
        <v>242</v>
      </c>
      <c r="H44" s="172">
        <v>700000</v>
      </c>
      <c r="I44" s="172">
        <v>30000</v>
      </c>
      <c r="J44" s="172">
        <v>350000</v>
      </c>
      <c r="K44" s="255">
        <v>320000</v>
      </c>
      <c r="L44" s="255"/>
      <c r="M44" s="258"/>
      <c r="N44" s="258"/>
    </row>
    <row r="45" spans="1:14" s="41" customFormat="1" ht="19.5" customHeight="1">
      <c r="A45" s="388"/>
      <c r="B45" s="393"/>
      <c r="C45" s="393"/>
      <c r="D45" s="390"/>
      <c r="E45" s="395"/>
      <c r="F45" s="404"/>
      <c r="G45" s="256" t="s">
        <v>632</v>
      </c>
      <c r="H45" s="172">
        <v>1720000</v>
      </c>
      <c r="I45" s="172">
        <v>1115000</v>
      </c>
      <c r="J45" s="172">
        <v>350000</v>
      </c>
      <c r="K45" s="255">
        <v>320000</v>
      </c>
      <c r="L45" s="255"/>
      <c r="M45" s="258"/>
      <c r="N45" s="258"/>
    </row>
    <row r="46" spans="1:14" s="41" customFormat="1" ht="19.5" customHeight="1">
      <c r="A46" s="388"/>
      <c r="B46" s="394"/>
      <c r="C46" s="394"/>
      <c r="D46" s="391"/>
      <c r="E46" s="396"/>
      <c r="F46" s="405"/>
      <c r="G46" s="256" t="s">
        <v>633</v>
      </c>
      <c r="H46" s="172"/>
      <c r="I46" s="172">
        <v>1112063.03</v>
      </c>
      <c r="J46" s="172"/>
      <c r="K46" s="255"/>
      <c r="L46" s="255"/>
      <c r="M46" s="258"/>
      <c r="N46" s="258"/>
    </row>
    <row r="47" spans="1:14" s="41" customFormat="1" ht="19.5" customHeight="1">
      <c r="A47" s="388" t="s">
        <v>692</v>
      </c>
      <c r="B47" s="392">
        <v>801</v>
      </c>
      <c r="C47" s="392">
        <v>80110</v>
      </c>
      <c r="D47" s="389" t="s">
        <v>686</v>
      </c>
      <c r="E47" s="389" t="s">
        <v>594</v>
      </c>
      <c r="F47" s="403" t="s">
        <v>687</v>
      </c>
      <c r="G47" s="257" t="s">
        <v>242</v>
      </c>
      <c r="H47" s="172"/>
      <c r="I47" s="172"/>
      <c r="J47" s="172"/>
      <c r="K47" s="255"/>
      <c r="L47" s="255"/>
      <c r="M47" s="258"/>
      <c r="N47" s="258"/>
    </row>
    <row r="48" spans="1:14" s="41" customFormat="1" ht="19.5" customHeight="1">
      <c r="A48" s="388"/>
      <c r="B48" s="393"/>
      <c r="C48" s="393"/>
      <c r="D48" s="390"/>
      <c r="E48" s="395"/>
      <c r="F48" s="404"/>
      <c r="G48" s="256" t="s">
        <v>632</v>
      </c>
      <c r="H48" s="172">
        <v>671440</v>
      </c>
      <c r="I48" s="172">
        <v>114040</v>
      </c>
      <c r="J48" s="172"/>
      <c r="K48" s="255"/>
      <c r="L48" s="255"/>
      <c r="M48" s="258"/>
      <c r="N48" s="258"/>
    </row>
    <row r="49" spans="1:14" s="41" customFormat="1" ht="19.5" customHeight="1">
      <c r="A49" s="388"/>
      <c r="B49" s="394"/>
      <c r="C49" s="394"/>
      <c r="D49" s="391"/>
      <c r="E49" s="396"/>
      <c r="F49" s="405"/>
      <c r="G49" s="256" t="s">
        <v>633</v>
      </c>
      <c r="H49" s="172"/>
      <c r="I49" s="172">
        <v>109299.65</v>
      </c>
      <c r="J49" s="172"/>
      <c r="K49" s="255"/>
      <c r="L49" s="255"/>
      <c r="M49" s="258"/>
      <c r="N49" s="258"/>
    </row>
    <row r="50" spans="1:14" s="260" customFormat="1" ht="19.5" customHeight="1">
      <c r="A50" s="388" t="s">
        <v>693</v>
      </c>
      <c r="B50" s="403">
        <v>900</v>
      </c>
      <c r="C50" s="403">
        <v>90001</v>
      </c>
      <c r="D50" s="402" t="s">
        <v>217</v>
      </c>
      <c r="E50" s="402" t="s">
        <v>594</v>
      </c>
      <c r="F50" s="403" t="s">
        <v>218</v>
      </c>
      <c r="G50" s="257" t="s">
        <v>242</v>
      </c>
      <c r="H50" s="172">
        <v>5200000</v>
      </c>
      <c r="I50" s="172">
        <v>3525000</v>
      </c>
      <c r="J50" s="172">
        <v>475000</v>
      </c>
      <c r="K50" s="172">
        <v>1000000</v>
      </c>
      <c r="L50" s="172"/>
      <c r="M50" s="259"/>
      <c r="N50" s="259"/>
    </row>
    <row r="51" spans="1:14" s="260" customFormat="1" ht="19.5" customHeight="1">
      <c r="A51" s="388"/>
      <c r="B51" s="404"/>
      <c r="C51" s="404"/>
      <c r="D51" s="406"/>
      <c r="E51" s="395"/>
      <c r="F51" s="404"/>
      <c r="G51" s="256" t="s">
        <v>632</v>
      </c>
      <c r="H51" s="172">
        <v>3600000</v>
      </c>
      <c r="I51" s="172">
        <v>2300000</v>
      </c>
      <c r="J51" s="172"/>
      <c r="K51" s="172"/>
      <c r="L51" s="172"/>
      <c r="M51" s="259"/>
      <c r="N51" s="259"/>
    </row>
    <row r="52" spans="1:14" s="260" customFormat="1" ht="19.5" customHeight="1">
      <c r="A52" s="388"/>
      <c r="B52" s="405"/>
      <c r="C52" s="405"/>
      <c r="D52" s="407"/>
      <c r="E52" s="396"/>
      <c r="F52" s="405"/>
      <c r="G52" s="256" t="s">
        <v>633</v>
      </c>
      <c r="H52" s="172"/>
      <c r="I52" s="172">
        <v>1599637.76</v>
      </c>
      <c r="J52" s="172"/>
      <c r="K52" s="172"/>
      <c r="L52" s="172"/>
      <c r="M52" s="259"/>
      <c r="N52" s="259"/>
    </row>
    <row r="53" spans="1:14" s="260" customFormat="1" ht="19.5" customHeight="1">
      <c r="A53" s="388" t="s">
        <v>700</v>
      </c>
      <c r="B53" s="403">
        <v>900</v>
      </c>
      <c r="C53" s="403">
        <v>90001</v>
      </c>
      <c r="D53" s="402" t="s">
        <v>595</v>
      </c>
      <c r="E53" s="402" t="s">
        <v>594</v>
      </c>
      <c r="F53" s="403" t="s">
        <v>596</v>
      </c>
      <c r="G53" s="257" t="s">
        <v>242</v>
      </c>
      <c r="H53" s="172">
        <v>1350000</v>
      </c>
      <c r="I53" s="172">
        <v>100000</v>
      </c>
      <c r="J53" s="172"/>
      <c r="K53" s="172"/>
      <c r="L53" s="172"/>
      <c r="M53" s="259"/>
      <c r="N53" s="259"/>
    </row>
    <row r="54" spans="1:14" s="260" customFormat="1" ht="19.5" customHeight="1">
      <c r="A54" s="388"/>
      <c r="B54" s="404"/>
      <c r="C54" s="404"/>
      <c r="D54" s="406"/>
      <c r="E54" s="395"/>
      <c r="F54" s="404"/>
      <c r="G54" s="256" t="s">
        <v>632</v>
      </c>
      <c r="H54" s="172">
        <v>1350000</v>
      </c>
      <c r="I54" s="172">
        <v>150000</v>
      </c>
      <c r="J54" s="172"/>
      <c r="K54" s="172"/>
      <c r="L54" s="172"/>
      <c r="M54" s="259"/>
      <c r="N54" s="259"/>
    </row>
    <row r="55" spans="1:14" s="260" customFormat="1" ht="19.5" customHeight="1">
      <c r="A55" s="388"/>
      <c r="B55" s="405"/>
      <c r="C55" s="405"/>
      <c r="D55" s="407"/>
      <c r="E55" s="396"/>
      <c r="F55" s="405"/>
      <c r="G55" s="256" t="s">
        <v>633</v>
      </c>
      <c r="H55" s="172"/>
      <c r="I55" s="172">
        <v>133401.43</v>
      </c>
      <c r="J55" s="172"/>
      <c r="K55" s="172"/>
      <c r="L55" s="172"/>
      <c r="M55" s="259"/>
      <c r="N55" s="259"/>
    </row>
    <row r="56" spans="1:14" s="260" customFormat="1" ht="22.5" customHeight="1">
      <c r="A56" s="388" t="s">
        <v>701</v>
      </c>
      <c r="B56" s="403">
        <v>900</v>
      </c>
      <c r="C56" s="403">
        <v>90095</v>
      </c>
      <c r="D56" s="402" t="s">
        <v>625</v>
      </c>
      <c r="E56" s="402" t="s">
        <v>594</v>
      </c>
      <c r="F56" s="403" t="s">
        <v>238</v>
      </c>
      <c r="G56" s="257" t="s">
        <v>242</v>
      </c>
      <c r="H56" s="172">
        <v>1094000</v>
      </c>
      <c r="I56" s="172">
        <v>1052000</v>
      </c>
      <c r="J56" s="172">
        <f>14000*3</f>
        <v>42000</v>
      </c>
      <c r="K56" s="172"/>
      <c r="L56" s="172"/>
      <c r="M56" s="259"/>
      <c r="N56" s="259"/>
    </row>
    <row r="57" spans="1:14" s="260" customFormat="1" ht="22.5" customHeight="1">
      <c r="A57" s="388"/>
      <c r="B57" s="404"/>
      <c r="C57" s="404"/>
      <c r="D57" s="406"/>
      <c r="E57" s="395"/>
      <c r="F57" s="404"/>
      <c r="G57" s="256" t="s">
        <v>632</v>
      </c>
      <c r="H57" s="172">
        <v>1094000</v>
      </c>
      <c r="I57" s="172">
        <v>859000</v>
      </c>
      <c r="J57" s="172">
        <v>144000</v>
      </c>
      <c r="K57" s="172"/>
      <c r="L57" s="172"/>
      <c r="M57" s="259"/>
      <c r="N57" s="259"/>
    </row>
    <row r="58" spans="1:14" s="260" customFormat="1" ht="22.5" customHeight="1">
      <c r="A58" s="388"/>
      <c r="B58" s="405"/>
      <c r="C58" s="405"/>
      <c r="D58" s="407"/>
      <c r="E58" s="396"/>
      <c r="F58" s="405"/>
      <c r="G58" s="256" t="s">
        <v>633</v>
      </c>
      <c r="H58" s="172"/>
      <c r="I58" s="172">
        <v>589077.3</v>
      </c>
      <c r="J58" s="172"/>
      <c r="K58" s="172"/>
      <c r="L58" s="172"/>
      <c r="M58" s="259"/>
      <c r="N58" s="259"/>
    </row>
    <row r="59" spans="1:14" s="41" customFormat="1" ht="18" customHeight="1">
      <c r="A59" s="388" t="s">
        <v>702</v>
      </c>
      <c r="B59" s="392">
        <v>921</v>
      </c>
      <c r="C59" s="392">
        <v>92109</v>
      </c>
      <c r="D59" s="392" t="s">
        <v>219</v>
      </c>
      <c r="E59" s="389" t="s">
        <v>594</v>
      </c>
      <c r="F59" s="392" t="s">
        <v>214</v>
      </c>
      <c r="G59" s="257" t="s">
        <v>242</v>
      </c>
      <c r="H59" s="255">
        <v>1500000</v>
      </c>
      <c r="I59" s="255">
        <v>30000</v>
      </c>
      <c r="J59" s="255">
        <v>0</v>
      </c>
      <c r="K59" s="255">
        <v>1470000</v>
      </c>
      <c r="L59" s="255"/>
      <c r="M59" s="258"/>
      <c r="N59" s="258"/>
    </row>
    <row r="60" spans="1:14" s="41" customFormat="1" ht="18" customHeight="1">
      <c r="A60" s="388"/>
      <c r="B60" s="393"/>
      <c r="C60" s="393"/>
      <c r="D60" s="393"/>
      <c r="E60" s="395"/>
      <c r="F60" s="393"/>
      <c r="G60" s="256" t="s">
        <v>632</v>
      </c>
      <c r="H60" s="255">
        <v>0</v>
      </c>
      <c r="I60" s="255">
        <v>0</v>
      </c>
      <c r="J60" s="255">
        <v>0</v>
      </c>
      <c r="K60" s="255">
        <v>0</v>
      </c>
      <c r="L60" s="255"/>
      <c r="M60" s="258"/>
      <c r="N60" s="258"/>
    </row>
    <row r="61" spans="1:14" s="41" customFormat="1" ht="18" customHeight="1">
      <c r="A61" s="388"/>
      <c r="B61" s="394"/>
      <c r="C61" s="394"/>
      <c r="D61" s="394"/>
      <c r="E61" s="396"/>
      <c r="F61" s="394"/>
      <c r="G61" s="256" t="s">
        <v>633</v>
      </c>
      <c r="H61" s="255"/>
      <c r="I61" s="255"/>
      <c r="J61" s="255"/>
      <c r="K61" s="255"/>
      <c r="L61" s="255"/>
      <c r="M61" s="258"/>
      <c r="N61" s="258"/>
    </row>
    <row r="62" spans="1:14" s="41" customFormat="1" ht="18" customHeight="1">
      <c r="A62" s="388" t="s">
        <v>703</v>
      </c>
      <c r="B62" s="392">
        <v>921</v>
      </c>
      <c r="C62" s="392">
        <v>92109</v>
      </c>
      <c r="D62" s="392" t="s">
        <v>239</v>
      </c>
      <c r="E62" s="389" t="s">
        <v>594</v>
      </c>
      <c r="F62" s="392" t="s">
        <v>238</v>
      </c>
      <c r="G62" s="257" t="s">
        <v>242</v>
      </c>
      <c r="H62" s="172">
        <v>850000</v>
      </c>
      <c r="I62" s="172">
        <v>710000</v>
      </c>
      <c r="J62" s="255">
        <v>100000</v>
      </c>
      <c r="K62" s="255"/>
      <c r="L62" s="255"/>
      <c r="M62" s="258"/>
      <c r="N62" s="258"/>
    </row>
    <row r="63" spans="1:14" s="41" customFormat="1" ht="18" customHeight="1">
      <c r="A63" s="388"/>
      <c r="B63" s="393"/>
      <c r="C63" s="393"/>
      <c r="D63" s="393"/>
      <c r="E63" s="395"/>
      <c r="F63" s="393"/>
      <c r="G63" s="256" t="s">
        <v>632</v>
      </c>
      <c r="H63" s="172">
        <v>800000</v>
      </c>
      <c r="I63" s="172">
        <v>370000</v>
      </c>
      <c r="J63" s="255">
        <v>430000</v>
      </c>
      <c r="K63" s="255"/>
      <c r="L63" s="255"/>
      <c r="M63" s="258"/>
      <c r="N63" s="258"/>
    </row>
    <row r="64" spans="1:14" s="41" customFormat="1" ht="18" customHeight="1">
      <c r="A64" s="388"/>
      <c r="B64" s="394"/>
      <c r="C64" s="394"/>
      <c r="D64" s="394"/>
      <c r="E64" s="396"/>
      <c r="F64" s="394"/>
      <c r="G64" s="256" t="s">
        <v>633</v>
      </c>
      <c r="H64" s="172"/>
      <c r="I64" s="172">
        <v>24400</v>
      </c>
      <c r="J64" s="255"/>
      <c r="K64" s="255"/>
      <c r="L64" s="255"/>
      <c r="M64" s="258"/>
      <c r="N64" s="258"/>
    </row>
    <row r="65" spans="1:14" s="41" customFormat="1" ht="18" customHeight="1">
      <c r="A65" s="388" t="s">
        <v>704</v>
      </c>
      <c r="B65" s="392">
        <v>921</v>
      </c>
      <c r="C65" s="392">
        <v>92109</v>
      </c>
      <c r="D65" s="389" t="s">
        <v>628</v>
      </c>
      <c r="E65" s="389" t="s">
        <v>594</v>
      </c>
      <c r="F65" s="392" t="s">
        <v>214</v>
      </c>
      <c r="G65" s="257" t="s">
        <v>242</v>
      </c>
      <c r="H65" s="255">
        <v>700000</v>
      </c>
      <c r="I65" s="255">
        <v>165000</v>
      </c>
      <c r="J65" s="255">
        <v>200000</v>
      </c>
      <c r="K65" s="255">
        <v>335000</v>
      </c>
      <c r="L65" s="255"/>
      <c r="M65" s="258"/>
      <c r="N65" s="258"/>
    </row>
    <row r="66" spans="1:14" s="41" customFormat="1" ht="18" customHeight="1">
      <c r="A66" s="388"/>
      <c r="B66" s="393"/>
      <c r="C66" s="393"/>
      <c r="D66" s="390"/>
      <c r="E66" s="395"/>
      <c r="F66" s="393"/>
      <c r="G66" s="256" t="s">
        <v>632</v>
      </c>
      <c r="H66" s="255">
        <v>750000</v>
      </c>
      <c r="I66" s="255">
        <v>50000</v>
      </c>
      <c r="J66" s="255">
        <v>436667</v>
      </c>
      <c r="K66" s="255">
        <v>263333</v>
      </c>
      <c r="L66" s="255"/>
      <c r="M66" s="258"/>
      <c r="N66" s="258"/>
    </row>
    <row r="67" spans="1:14" s="41" customFormat="1" ht="18" customHeight="1">
      <c r="A67" s="388"/>
      <c r="B67" s="394"/>
      <c r="C67" s="394"/>
      <c r="D67" s="391"/>
      <c r="E67" s="396"/>
      <c r="F67" s="394"/>
      <c r="G67" s="256" t="s">
        <v>633</v>
      </c>
      <c r="H67" s="255"/>
      <c r="I67" s="255">
        <v>0</v>
      </c>
      <c r="J67" s="255"/>
      <c r="K67" s="255"/>
      <c r="L67" s="255"/>
      <c r="M67" s="258"/>
      <c r="N67" s="258"/>
    </row>
    <row r="68" spans="1:14" s="41" customFormat="1" ht="18" customHeight="1">
      <c r="A68" s="388" t="s">
        <v>711</v>
      </c>
      <c r="B68" s="392">
        <v>926</v>
      </c>
      <c r="C68" s="392">
        <v>92601</v>
      </c>
      <c r="D68" s="389" t="s">
        <v>708</v>
      </c>
      <c r="E68" s="389" t="s">
        <v>594</v>
      </c>
      <c r="F68" s="392">
        <v>2010</v>
      </c>
      <c r="G68" s="257" t="s">
        <v>242</v>
      </c>
      <c r="H68" s="255">
        <v>0</v>
      </c>
      <c r="I68" s="172">
        <v>0</v>
      </c>
      <c r="J68" s="255">
        <v>0</v>
      </c>
      <c r="K68" s="255"/>
      <c r="L68" s="255"/>
      <c r="M68" s="258"/>
      <c r="N68" s="258"/>
    </row>
    <row r="69" spans="1:14" s="41" customFormat="1" ht="18" customHeight="1">
      <c r="A69" s="388"/>
      <c r="B69" s="393"/>
      <c r="C69" s="393"/>
      <c r="D69" s="390"/>
      <c r="E69" s="395"/>
      <c r="F69" s="393"/>
      <c r="G69" s="256" t="s">
        <v>632</v>
      </c>
      <c r="H69" s="255">
        <v>900000</v>
      </c>
      <c r="I69" s="172">
        <v>950000</v>
      </c>
      <c r="J69" s="255"/>
      <c r="K69" s="255"/>
      <c r="L69" s="255"/>
      <c r="M69" s="258"/>
      <c r="N69" s="258"/>
    </row>
    <row r="70" spans="1:14" s="41" customFormat="1" ht="18" customHeight="1">
      <c r="A70" s="388"/>
      <c r="B70" s="394"/>
      <c r="C70" s="394"/>
      <c r="D70" s="391"/>
      <c r="E70" s="396"/>
      <c r="F70" s="394"/>
      <c r="G70" s="256" t="s">
        <v>633</v>
      </c>
      <c r="H70" s="255"/>
      <c r="I70" s="172">
        <v>943084.72</v>
      </c>
      <c r="J70" s="255"/>
      <c r="K70" s="255"/>
      <c r="L70" s="255"/>
      <c r="M70" s="258"/>
      <c r="N70" s="258"/>
    </row>
    <row r="71" spans="1:14" s="41" customFormat="1" ht="18" customHeight="1">
      <c r="A71" s="388" t="s">
        <v>712</v>
      </c>
      <c r="B71" s="392">
        <v>926</v>
      </c>
      <c r="C71" s="392">
        <v>92601</v>
      </c>
      <c r="D71" s="389" t="s">
        <v>709</v>
      </c>
      <c r="E71" s="389" t="s">
        <v>594</v>
      </c>
      <c r="F71" s="392">
        <v>2010</v>
      </c>
      <c r="G71" s="257" t="s">
        <v>242</v>
      </c>
      <c r="H71" s="255">
        <v>0</v>
      </c>
      <c r="I71" s="172">
        <v>0</v>
      </c>
      <c r="J71" s="255">
        <v>0</v>
      </c>
      <c r="K71" s="255"/>
      <c r="L71" s="255"/>
      <c r="M71" s="258"/>
      <c r="N71" s="258"/>
    </row>
    <row r="72" spans="1:14" s="41" customFormat="1" ht="18" customHeight="1">
      <c r="A72" s="388"/>
      <c r="B72" s="393"/>
      <c r="C72" s="393"/>
      <c r="D72" s="390"/>
      <c r="E72" s="395"/>
      <c r="F72" s="393"/>
      <c r="G72" s="256" t="s">
        <v>632</v>
      </c>
      <c r="H72" s="255">
        <v>328826.66</v>
      </c>
      <c r="I72" s="172">
        <v>328826.66</v>
      </c>
      <c r="J72" s="255"/>
      <c r="K72" s="255"/>
      <c r="L72" s="255"/>
      <c r="M72" s="258"/>
      <c r="N72" s="258"/>
    </row>
    <row r="73" spans="1:14" s="41" customFormat="1" ht="18" customHeight="1">
      <c r="A73" s="388"/>
      <c r="B73" s="394"/>
      <c r="C73" s="394"/>
      <c r="D73" s="391"/>
      <c r="E73" s="396"/>
      <c r="F73" s="394"/>
      <c r="G73" s="256" t="s">
        <v>633</v>
      </c>
      <c r="H73" s="255"/>
      <c r="I73" s="172">
        <v>328826.66</v>
      </c>
      <c r="J73" s="255"/>
      <c r="K73" s="255"/>
      <c r="L73" s="255"/>
      <c r="M73" s="258"/>
      <c r="N73" s="258"/>
    </row>
    <row r="74" spans="1:14" s="41" customFormat="1" ht="18" customHeight="1">
      <c r="A74" s="388" t="s">
        <v>713</v>
      </c>
      <c r="B74" s="392">
        <v>926</v>
      </c>
      <c r="C74" s="392">
        <v>92601</v>
      </c>
      <c r="D74" s="389" t="s">
        <v>220</v>
      </c>
      <c r="E74" s="389" t="s">
        <v>594</v>
      </c>
      <c r="F74" s="392" t="s">
        <v>207</v>
      </c>
      <c r="G74" s="257" t="s">
        <v>242</v>
      </c>
      <c r="H74" s="255">
        <v>6100000</v>
      </c>
      <c r="I74" s="172">
        <v>4520000</v>
      </c>
      <c r="J74" s="255">
        <v>1000000</v>
      </c>
      <c r="K74" s="255"/>
      <c r="L74" s="255"/>
      <c r="M74" s="258"/>
      <c r="N74" s="258"/>
    </row>
    <row r="75" spans="1:14" s="41" customFormat="1" ht="18" customHeight="1">
      <c r="A75" s="388"/>
      <c r="B75" s="393"/>
      <c r="C75" s="393"/>
      <c r="D75" s="390"/>
      <c r="E75" s="395"/>
      <c r="F75" s="393"/>
      <c r="G75" s="256" t="s">
        <v>632</v>
      </c>
      <c r="H75" s="255">
        <v>4830000</v>
      </c>
      <c r="I75" s="172">
        <v>100000</v>
      </c>
      <c r="J75" s="255">
        <v>3230000</v>
      </c>
      <c r="K75" s="255">
        <v>1500000</v>
      </c>
      <c r="L75" s="255"/>
      <c r="M75" s="258"/>
      <c r="N75" s="258"/>
    </row>
    <row r="76" spans="1:14" s="41" customFormat="1" ht="18" customHeight="1">
      <c r="A76" s="388"/>
      <c r="B76" s="394"/>
      <c r="C76" s="394"/>
      <c r="D76" s="391"/>
      <c r="E76" s="396"/>
      <c r="F76" s="394"/>
      <c r="G76" s="256" t="s">
        <v>633</v>
      </c>
      <c r="H76" s="255"/>
      <c r="I76" s="172">
        <v>1464</v>
      </c>
      <c r="J76" s="255"/>
      <c r="K76" s="255"/>
      <c r="L76" s="255"/>
      <c r="M76" s="258"/>
      <c r="N76" s="258"/>
    </row>
    <row r="77" spans="1:14" s="41" customFormat="1" ht="18" customHeight="1">
      <c r="A77" s="388" t="s">
        <v>714</v>
      </c>
      <c r="B77" s="388">
        <v>926</v>
      </c>
      <c r="C77" s="388">
        <v>92601</v>
      </c>
      <c r="D77" s="388" t="s">
        <v>221</v>
      </c>
      <c r="E77" s="389" t="s">
        <v>594</v>
      </c>
      <c r="F77" s="388" t="s">
        <v>214</v>
      </c>
      <c r="G77" s="257" t="s">
        <v>242</v>
      </c>
      <c r="H77" s="255">
        <v>1000000</v>
      </c>
      <c r="I77" s="255">
        <v>480000</v>
      </c>
      <c r="J77" s="255">
        <v>300000</v>
      </c>
      <c r="K77" s="255">
        <v>220000</v>
      </c>
      <c r="L77" s="255"/>
      <c r="M77" s="258"/>
      <c r="N77" s="258"/>
    </row>
    <row r="78" spans="1:14" s="41" customFormat="1" ht="18" customHeight="1">
      <c r="A78" s="388"/>
      <c r="B78" s="388"/>
      <c r="C78" s="388"/>
      <c r="D78" s="388"/>
      <c r="E78" s="390"/>
      <c r="F78" s="388"/>
      <c r="G78" s="256" t="s">
        <v>632</v>
      </c>
      <c r="H78" s="255">
        <v>1000000</v>
      </c>
      <c r="I78" s="255">
        <v>0</v>
      </c>
      <c r="J78" s="255">
        <v>50000</v>
      </c>
      <c r="K78" s="255">
        <v>950000</v>
      </c>
      <c r="L78" s="255"/>
      <c r="M78" s="258"/>
      <c r="N78" s="258"/>
    </row>
    <row r="79" spans="1:14" s="41" customFormat="1" ht="18" customHeight="1">
      <c r="A79" s="388"/>
      <c r="B79" s="388"/>
      <c r="C79" s="388"/>
      <c r="D79" s="388"/>
      <c r="E79" s="391"/>
      <c r="F79" s="388"/>
      <c r="G79" s="256" t="s">
        <v>633</v>
      </c>
      <c r="H79" s="255"/>
      <c r="I79" s="255"/>
      <c r="J79" s="255"/>
      <c r="K79" s="255"/>
      <c r="L79" s="255"/>
      <c r="M79" s="258"/>
      <c r="N79" s="258"/>
    </row>
    <row r="80" spans="1:14" s="41" customFormat="1" ht="18" customHeight="1">
      <c r="A80" s="261"/>
      <c r="B80" s="261"/>
      <c r="C80" s="261"/>
      <c r="D80" s="261"/>
      <c r="E80" s="261"/>
      <c r="F80" s="261"/>
      <c r="G80" s="256" t="s">
        <v>242</v>
      </c>
      <c r="H80" s="80">
        <f aca="true" t="shared" si="0" ref="H80:L82">H8+H14+H17+H20+H23+H26+H29+H32+H35+H38+H41+H44+H50+H53+H56+H59+H62+H65+H74+H77+H11+H71+H68+H47</f>
        <v>94939000</v>
      </c>
      <c r="I80" s="80">
        <f t="shared" si="0"/>
        <v>36657776</v>
      </c>
      <c r="J80" s="80">
        <f t="shared" si="0"/>
        <v>25307000</v>
      </c>
      <c r="K80" s="80">
        <f t="shared" si="0"/>
        <v>18845000</v>
      </c>
      <c r="L80" s="80">
        <f t="shared" si="0"/>
        <v>10200000</v>
      </c>
      <c r="M80" s="258"/>
      <c r="N80" s="258"/>
    </row>
    <row r="81" spans="1:12" s="21" customFormat="1" ht="18" customHeight="1">
      <c r="A81" s="387"/>
      <c r="B81" s="387"/>
      <c r="C81" s="387"/>
      <c r="D81" s="387"/>
      <c r="E81" s="387"/>
      <c r="F81" s="262"/>
      <c r="G81" s="256" t="s">
        <v>632</v>
      </c>
      <c r="H81" s="80">
        <f t="shared" si="0"/>
        <v>81760933.66</v>
      </c>
      <c r="I81" s="80">
        <f>I9+I15+I18+I21+I24+I27+I30+I33+I36+I39+I42+I45+I51+I54+I57+I60+I63+I66+I75+I78+I12+I72+I69+I48</f>
        <v>23880361.2</v>
      </c>
      <c r="J81" s="80">
        <f t="shared" si="0"/>
        <v>29400667</v>
      </c>
      <c r="K81" s="80">
        <f t="shared" si="0"/>
        <v>16000000</v>
      </c>
      <c r="L81" s="80">
        <f t="shared" si="0"/>
        <v>9000000</v>
      </c>
    </row>
    <row r="82" spans="6:12" s="41" customFormat="1" ht="18" customHeight="1">
      <c r="F82" s="261"/>
      <c r="G82" s="256" t="s">
        <v>633</v>
      </c>
      <c r="H82" s="80">
        <f t="shared" si="0"/>
        <v>0</v>
      </c>
      <c r="I82" s="80">
        <f t="shared" si="0"/>
        <v>22041032.5</v>
      </c>
      <c r="J82" s="80">
        <f t="shared" si="0"/>
        <v>0</v>
      </c>
      <c r="K82" s="80">
        <f t="shared" si="0"/>
        <v>0</v>
      </c>
      <c r="L82" s="80">
        <f t="shared" si="0"/>
        <v>0</v>
      </c>
    </row>
    <row r="83" spans="6:12" ht="12.75">
      <c r="F83" s="13" t="s">
        <v>242</v>
      </c>
      <c r="H83" s="97">
        <v>94939000</v>
      </c>
      <c r="I83" s="97">
        <v>36657776</v>
      </c>
      <c r="J83" s="97">
        <v>25307000</v>
      </c>
      <c r="K83" s="97">
        <v>18845000</v>
      </c>
      <c r="L83" s="97">
        <v>10200000</v>
      </c>
    </row>
    <row r="84" spans="6:12" ht="12.75">
      <c r="F84" s="15" t="s">
        <v>632</v>
      </c>
      <c r="G84" s="15"/>
      <c r="H84" s="97">
        <v>81610933.66</v>
      </c>
      <c r="I84" s="97">
        <v>23591534.54</v>
      </c>
      <c r="J84" s="97">
        <v>29400667</v>
      </c>
      <c r="K84" s="97">
        <v>16000000</v>
      </c>
      <c r="L84" s="97">
        <v>9000000</v>
      </c>
    </row>
    <row r="85" spans="6:12" ht="12.75">
      <c r="F85" s="13" t="s">
        <v>633</v>
      </c>
      <c r="H85" s="97"/>
      <c r="I85" s="97"/>
      <c r="J85" s="97"/>
      <c r="K85" s="97"/>
      <c r="L85" s="97"/>
    </row>
    <row r="86" spans="6:12" ht="12.75">
      <c r="F86" s="13" t="s">
        <v>242</v>
      </c>
      <c r="H86" s="97">
        <f aca="true" t="shared" si="1" ref="H86:L88">H83-H80</f>
        <v>0</v>
      </c>
      <c r="I86" s="97">
        <f t="shared" si="1"/>
        <v>0</v>
      </c>
      <c r="J86" s="97">
        <f t="shared" si="1"/>
        <v>0</v>
      </c>
      <c r="K86" s="97">
        <f t="shared" si="1"/>
        <v>0</v>
      </c>
      <c r="L86" s="97">
        <f t="shared" si="1"/>
        <v>0</v>
      </c>
    </row>
    <row r="87" spans="6:12" ht="12.75">
      <c r="F87" s="15" t="s">
        <v>632</v>
      </c>
      <c r="G87" s="15"/>
      <c r="H87" s="97">
        <f t="shared" si="1"/>
        <v>-150000</v>
      </c>
      <c r="I87" s="97">
        <f t="shared" si="1"/>
        <v>-288826.66000000015</v>
      </c>
      <c r="J87" s="97">
        <f t="shared" si="1"/>
        <v>0</v>
      </c>
      <c r="K87" s="97">
        <f t="shared" si="1"/>
        <v>0</v>
      </c>
      <c r="L87" s="97">
        <f t="shared" si="1"/>
        <v>0</v>
      </c>
    </row>
    <row r="88" spans="6:12" ht="12.75">
      <c r="F88" s="13" t="s">
        <v>633</v>
      </c>
      <c r="H88" s="97">
        <f t="shared" si="1"/>
        <v>0</v>
      </c>
      <c r="I88" s="97">
        <f t="shared" si="1"/>
        <v>-22041032.5</v>
      </c>
      <c r="J88" s="97">
        <f t="shared" si="1"/>
        <v>0</v>
      </c>
      <c r="K88" s="97">
        <f t="shared" si="1"/>
        <v>0</v>
      </c>
      <c r="L88" s="97">
        <f t="shared" si="1"/>
        <v>0</v>
      </c>
    </row>
    <row r="89" spans="8:12" ht="12.75">
      <c r="H89" s="97"/>
      <c r="I89" s="97"/>
      <c r="J89" s="97"/>
      <c r="K89" s="97"/>
      <c r="L89" s="97"/>
    </row>
    <row r="90" spans="8:12" ht="12.75">
      <c r="H90" s="97"/>
      <c r="I90" s="97"/>
      <c r="J90" s="97"/>
      <c r="K90" s="97"/>
      <c r="L90" s="97"/>
    </row>
    <row r="91" spans="8:12" ht="12.75">
      <c r="H91" s="97"/>
      <c r="I91" s="97"/>
      <c r="J91" s="97"/>
      <c r="K91" s="97"/>
      <c r="L91" s="97"/>
    </row>
    <row r="92" spans="8:12" ht="12.75">
      <c r="H92" s="97"/>
      <c r="I92" s="97"/>
      <c r="J92" s="97"/>
      <c r="K92" s="97"/>
      <c r="L92" s="97"/>
    </row>
    <row r="93" spans="8:12" ht="12.75">
      <c r="H93" s="97"/>
      <c r="I93" s="97"/>
      <c r="J93" s="97"/>
      <c r="K93" s="97"/>
      <c r="L93" s="97"/>
    </row>
    <row r="94" spans="8:12" ht="12.75">
      <c r="H94" s="97"/>
      <c r="I94" s="97"/>
      <c r="J94" s="97"/>
      <c r="K94" s="97"/>
      <c r="L94" s="97"/>
    </row>
    <row r="95" spans="8:12" ht="12.75">
      <c r="H95" s="97"/>
      <c r="I95" s="97"/>
      <c r="J95" s="97"/>
      <c r="K95" s="97"/>
      <c r="L95" s="97"/>
    </row>
    <row r="96" spans="8:12" ht="12.75">
      <c r="H96" s="97"/>
      <c r="I96" s="97"/>
      <c r="J96" s="97"/>
      <c r="K96" s="97"/>
      <c r="L96" s="97"/>
    </row>
    <row r="97" spans="8:12" ht="12.75">
      <c r="H97" s="97"/>
      <c r="I97" s="97"/>
      <c r="J97" s="97"/>
      <c r="K97" s="97"/>
      <c r="L97" s="97"/>
    </row>
    <row r="98" spans="8:12" ht="12.75">
      <c r="H98" s="97"/>
      <c r="I98" s="97"/>
      <c r="J98" s="97"/>
      <c r="K98" s="97"/>
      <c r="L98" s="97"/>
    </row>
  </sheetData>
  <sheetProtection/>
  <mergeCells count="156">
    <mergeCell ref="F71:F73"/>
    <mergeCell ref="B68:B70"/>
    <mergeCell ref="C68:C70"/>
    <mergeCell ref="D68:D70"/>
    <mergeCell ref="E68:E70"/>
    <mergeCell ref="F68:F70"/>
    <mergeCell ref="D71:D73"/>
    <mergeCell ref="E71:E73"/>
    <mergeCell ref="B20:B22"/>
    <mergeCell ref="C20:C22"/>
    <mergeCell ref="B11:B13"/>
    <mergeCell ref="D35:D37"/>
    <mergeCell ref="F11:F13"/>
    <mergeCell ref="C23:C25"/>
    <mergeCell ref="B14:B16"/>
    <mergeCell ref="B17:B19"/>
    <mergeCell ref="C35:C37"/>
    <mergeCell ref="E20:E22"/>
    <mergeCell ref="A47:A49"/>
    <mergeCell ref="B47:B49"/>
    <mergeCell ref="C47:C49"/>
    <mergeCell ref="D47:D49"/>
    <mergeCell ref="E47:E49"/>
    <mergeCell ref="F47:F49"/>
    <mergeCell ref="E23:E25"/>
    <mergeCell ref="F8:F10"/>
    <mergeCell ref="F14:F16"/>
    <mergeCell ref="F17:F19"/>
    <mergeCell ref="F20:F22"/>
    <mergeCell ref="F23:F25"/>
    <mergeCell ref="E11:E13"/>
    <mergeCell ref="C8:C10"/>
    <mergeCell ref="C14:C16"/>
    <mergeCell ref="C17:C19"/>
    <mergeCell ref="E8:E10"/>
    <mergeCell ref="E14:E16"/>
    <mergeCell ref="E17:E19"/>
    <mergeCell ref="B8:B10"/>
    <mergeCell ref="B23:B25"/>
    <mergeCell ref="A11:A13"/>
    <mergeCell ref="D8:D10"/>
    <mergeCell ref="D14:D16"/>
    <mergeCell ref="D17:D19"/>
    <mergeCell ref="D20:D22"/>
    <mergeCell ref="D23:D25"/>
    <mergeCell ref="C11:C13"/>
    <mergeCell ref="D11:D13"/>
    <mergeCell ref="D41:D43"/>
    <mergeCell ref="C41:C43"/>
    <mergeCell ref="B41:B43"/>
    <mergeCell ref="B38:B40"/>
    <mergeCell ref="C38:C40"/>
    <mergeCell ref="A8:A10"/>
    <mergeCell ref="A14:A16"/>
    <mergeCell ref="A17:A19"/>
    <mergeCell ref="A20:A22"/>
    <mergeCell ref="A23:A25"/>
    <mergeCell ref="B35:B37"/>
    <mergeCell ref="F32:F34"/>
    <mergeCell ref="F35:F37"/>
    <mergeCell ref="F38:F40"/>
    <mergeCell ref="F41:F43"/>
    <mergeCell ref="E41:E43"/>
    <mergeCell ref="E38:E40"/>
    <mergeCell ref="E35:E37"/>
    <mergeCell ref="E32:E34"/>
    <mergeCell ref="D38:D40"/>
    <mergeCell ref="E26:E28"/>
    <mergeCell ref="F26:F28"/>
    <mergeCell ref="D29:D31"/>
    <mergeCell ref="C29:C31"/>
    <mergeCell ref="B29:B31"/>
    <mergeCell ref="E29:E31"/>
    <mergeCell ref="F29:F31"/>
    <mergeCell ref="A26:A28"/>
    <mergeCell ref="B26:B28"/>
    <mergeCell ref="C26:C28"/>
    <mergeCell ref="D26:D28"/>
    <mergeCell ref="D32:D34"/>
    <mergeCell ref="B32:B34"/>
    <mergeCell ref="C32:C34"/>
    <mergeCell ref="A41:A43"/>
    <mergeCell ref="A38:A40"/>
    <mergeCell ref="A35:A37"/>
    <mergeCell ref="B53:B55"/>
    <mergeCell ref="A32:A34"/>
    <mergeCell ref="A29:A31"/>
    <mergeCell ref="A44:A46"/>
    <mergeCell ref="A50:A52"/>
    <mergeCell ref="A53:A55"/>
    <mergeCell ref="B50:B52"/>
    <mergeCell ref="F50:F52"/>
    <mergeCell ref="F44:F46"/>
    <mergeCell ref="F56:F58"/>
    <mergeCell ref="E56:E58"/>
    <mergeCell ref="D56:D58"/>
    <mergeCell ref="D53:D55"/>
    <mergeCell ref="D50:D52"/>
    <mergeCell ref="D44:D46"/>
    <mergeCell ref="E44:E46"/>
    <mergeCell ref="A62:A64"/>
    <mergeCell ref="B62:B64"/>
    <mergeCell ref="C62:C64"/>
    <mergeCell ref="C59:C61"/>
    <mergeCell ref="B59:B61"/>
    <mergeCell ref="F53:F55"/>
    <mergeCell ref="F5:F6"/>
    <mergeCell ref="E50:E52"/>
    <mergeCell ref="E53:E55"/>
    <mergeCell ref="C56:C58"/>
    <mergeCell ref="B56:B58"/>
    <mergeCell ref="A56:A58"/>
    <mergeCell ref="B44:B46"/>
    <mergeCell ref="C44:C46"/>
    <mergeCell ref="C50:C52"/>
    <mergeCell ref="C53:C55"/>
    <mergeCell ref="D65:D67"/>
    <mergeCell ref="F62:F64"/>
    <mergeCell ref="E65:E67"/>
    <mergeCell ref="F65:F67"/>
    <mergeCell ref="F59:F61"/>
    <mergeCell ref="A59:A61"/>
    <mergeCell ref="D62:D64"/>
    <mergeCell ref="D59:D61"/>
    <mergeCell ref="E59:E61"/>
    <mergeCell ref="E62:E64"/>
    <mergeCell ref="C74:C76"/>
    <mergeCell ref="B74:B76"/>
    <mergeCell ref="A74:A76"/>
    <mergeCell ref="A65:A67"/>
    <mergeCell ref="B65:B67"/>
    <mergeCell ref="C65:C67"/>
    <mergeCell ref="A68:A70"/>
    <mergeCell ref="A71:A73"/>
    <mergeCell ref="B71:B73"/>
    <mergeCell ref="C71:C73"/>
    <mergeCell ref="A1:I1"/>
    <mergeCell ref="A2:I2"/>
    <mergeCell ref="A3:I3"/>
    <mergeCell ref="A5:A6"/>
    <mergeCell ref="B5:B6"/>
    <mergeCell ref="C5:C6"/>
    <mergeCell ref="H5:H6"/>
    <mergeCell ref="I5:L5"/>
    <mergeCell ref="D5:D6"/>
    <mergeCell ref="E5:E6"/>
    <mergeCell ref="A81:E81"/>
    <mergeCell ref="D77:D79"/>
    <mergeCell ref="E77:E79"/>
    <mergeCell ref="F77:F79"/>
    <mergeCell ref="F74:F76"/>
    <mergeCell ref="A77:A79"/>
    <mergeCell ref="B77:B79"/>
    <mergeCell ref="C77:C79"/>
    <mergeCell ref="E74:E76"/>
    <mergeCell ref="D74:D76"/>
  </mergeCells>
  <printOptions/>
  <pageMargins left="0.7874015748031497" right="0.7874015748031497" top="0.984251968503937" bottom="1.3779527559055118" header="0.5118110236220472" footer="0.5118110236220472"/>
  <pageSetup firstPageNumber="1" useFirstPageNumber="1" fitToHeight="3" fitToWidth="1" horizontalDpi="600" verticalDpi="600" orientation="landscape" paperSize="9" scale="68" r:id="rId1"/>
  <headerFooter alignWithMargins="0">
    <oddFooter>&amp;CStrona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SheetLayoutView="100" workbookViewId="0" topLeftCell="A1">
      <selection activeCell="L2" sqref="L2"/>
    </sheetView>
  </sheetViews>
  <sheetFormatPr defaultColWidth="9.140625" defaultRowHeight="12.75"/>
  <cols>
    <col min="1" max="1" width="4.28125" style="15" customWidth="1"/>
    <col min="2" max="2" width="4.7109375" style="15" customWidth="1"/>
    <col min="3" max="3" width="6.421875" style="15" customWidth="1"/>
    <col min="4" max="4" width="19.28125" style="15" customWidth="1"/>
    <col min="5" max="5" width="50.140625" style="15" customWidth="1"/>
    <col min="6" max="6" width="11.8515625" style="15" customWidth="1"/>
    <col min="7" max="7" width="17.140625" style="15" customWidth="1"/>
    <col min="8" max="8" width="14.140625" style="15" customWidth="1"/>
    <col min="9" max="9" width="14.57421875" style="15" customWidth="1"/>
    <col min="10" max="10" width="14.8515625" style="15" customWidth="1"/>
    <col min="11" max="11" width="14.00390625" style="15" customWidth="1"/>
    <col min="12" max="12" width="12.7109375" style="15" customWidth="1"/>
    <col min="13" max="14" width="10.00390625" style="15" bestFit="1" customWidth="1"/>
    <col min="15" max="16384" width="9.140625" style="15" customWidth="1"/>
  </cols>
  <sheetData>
    <row r="1" spans="1:12" ht="69.75" customHeight="1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L1" s="14" t="s">
        <v>593</v>
      </c>
    </row>
    <row r="2" spans="1:12" ht="12.75" customHeight="1">
      <c r="A2" s="416"/>
      <c r="B2" s="416"/>
      <c r="C2" s="416"/>
      <c r="D2" s="416"/>
      <c r="E2" s="416"/>
      <c r="F2" s="416"/>
      <c r="G2" s="416"/>
      <c r="H2" s="416"/>
      <c r="I2" s="416"/>
      <c r="L2" s="102" t="s">
        <v>662</v>
      </c>
    </row>
    <row r="3" spans="1:12" ht="12.75" customHeight="1">
      <c r="A3" s="416"/>
      <c r="B3" s="416"/>
      <c r="C3" s="416"/>
      <c r="D3" s="416"/>
      <c r="E3" s="416"/>
      <c r="F3" s="416"/>
      <c r="G3" s="416"/>
      <c r="H3" s="416"/>
      <c r="I3" s="416"/>
      <c r="L3" s="14"/>
    </row>
    <row r="4" spans="1:12" ht="9.75" customHeight="1">
      <c r="A4" s="416"/>
      <c r="B4" s="416"/>
      <c r="C4" s="416"/>
      <c r="D4" s="416"/>
      <c r="E4" s="416"/>
      <c r="F4" s="416"/>
      <c r="G4" s="416"/>
      <c r="H4" s="416"/>
      <c r="I4" s="416"/>
      <c r="L4" s="14"/>
    </row>
    <row r="5" spans="1:12" ht="9.75" customHeight="1">
      <c r="A5" s="417"/>
      <c r="B5" s="417"/>
      <c r="C5" s="417"/>
      <c r="D5" s="417"/>
      <c r="E5" s="417"/>
      <c r="F5" s="417"/>
      <c r="G5" s="417"/>
      <c r="H5" s="417"/>
      <c r="L5" s="32" t="s">
        <v>84</v>
      </c>
    </row>
    <row r="6" spans="1:12" ht="64.5" customHeight="1">
      <c r="A6" s="418" t="s">
        <v>96</v>
      </c>
      <c r="B6" s="418" t="s">
        <v>8</v>
      </c>
      <c r="C6" s="418" t="s">
        <v>222</v>
      </c>
      <c r="D6" s="411" t="s">
        <v>223</v>
      </c>
      <c r="E6" s="419" t="s">
        <v>224</v>
      </c>
      <c r="F6" s="411" t="s">
        <v>225</v>
      </c>
      <c r="G6" s="263"/>
      <c r="H6" s="411" t="s">
        <v>226</v>
      </c>
      <c r="I6" s="413" t="s">
        <v>227</v>
      </c>
      <c r="J6" s="414"/>
      <c r="K6" s="414"/>
      <c r="L6" s="415"/>
    </row>
    <row r="7" spans="1:12" ht="24" customHeight="1">
      <c r="A7" s="418"/>
      <c r="B7" s="418"/>
      <c r="C7" s="418"/>
      <c r="D7" s="412"/>
      <c r="E7" s="419"/>
      <c r="F7" s="412"/>
      <c r="G7" s="265"/>
      <c r="H7" s="412"/>
      <c r="I7" s="264" t="s">
        <v>193</v>
      </c>
      <c r="J7" s="264" t="s">
        <v>194</v>
      </c>
      <c r="K7" s="264" t="s">
        <v>195</v>
      </c>
      <c r="L7" s="264" t="s">
        <v>196</v>
      </c>
    </row>
    <row r="8" spans="1:12" ht="15.7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/>
      <c r="H8" s="266">
        <v>7</v>
      </c>
      <c r="I8" s="266">
        <v>8</v>
      </c>
      <c r="J8" s="266">
        <v>9</v>
      </c>
      <c r="K8" s="266">
        <v>10</v>
      </c>
      <c r="L8" s="266">
        <v>11</v>
      </c>
    </row>
    <row r="9" spans="1:14" ht="12.75" customHeight="1">
      <c r="A9" s="392" t="s">
        <v>100</v>
      </c>
      <c r="B9" s="408" t="s">
        <v>201</v>
      </c>
      <c r="C9" s="408" t="s">
        <v>202</v>
      </c>
      <c r="D9" s="392" t="s">
        <v>589</v>
      </c>
      <c r="E9" s="389" t="s">
        <v>679</v>
      </c>
      <c r="F9" s="392" t="s">
        <v>204</v>
      </c>
      <c r="G9" s="256" t="s">
        <v>242</v>
      </c>
      <c r="H9" s="255">
        <v>1345000</v>
      </c>
      <c r="I9" s="255">
        <v>1280776</v>
      </c>
      <c r="J9" s="267"/>
      <c r="K9" s="267"/>
      <c r="L9" s="267"/>
      <c r="M9" s="99"/>
      <c r="N9" s="99"/>
    </row>
    <row r="10" spans="1:14" ht="12.75" customHeight="1">
      <c r="A10" s="409"/>
      <c r="B10" s="409"/>
      <c r="C10" s="409"/>
      <c r="D10" s="393"/>
      <c r="E10" s="390"/>
      <c r="F10" s="393"/>
      <c r="G10" s="256" t="s">
        <v>632</v>
      </c>
      <c r="H10" s="255">
        <v>1050000</v>
      </c>
      <c r="I10" s="255">
        <v>999412</v>
      </c>
      <c r="J10" s="267"/>
      <c r="K10" s="267"/>
      <c r="L10" s="267"/>
      <c r="M10" s="99"/>
      <c r="N10" s="99"/>
    </row>
    <row r="11" spans="1:14" ht="12.75" customHeight="1">
      <c r="A11" s="410"/>
      <c r="B11" s="410"/>
      <c r="C11" s="410"/>
      <c r="D11" s="394"/>
      <c r="E11" s="391"/>
      <c r="F11" s="394"/>
      <c r="G11" s="256" t="s">
        <v>633</v>
      </c>
      <c r="H11" s="255"/>
      <c r="I11" s="255">
        <v>982841.47</v>
      </c>
      <c r="J11" s="267"/>
      <c r="K11" s="267"/>
      <c r="L11" s="267"/>
      <c r="M11" s="99"/>
      <c r="N11" s="99"/>
    </row>
    <row r="12" spans="1:14" ht="12.75" customHeight="1">
      <c r="A12" s="392" t="s">
        <v>103</v>
      </c>
      <c r="B12" s="408" t="s">
        <v>201</v>
      </c>
      <c r="C12" s="408" t="s">
        <v>202</v>
      </c>
      <c r="D12" s="392" t="s">
        <v>589</v>
      </c>
      <c r="E12" s="389" t="s">
        <v>680</v>
      </c>
      <c r="F12" s="392" t="s">
        <v>214</v>
      </c>
      <c r="G12" s="256" t="s">
        <v>242</v>
      </c>
      <c r="H12" s="255">
        <v>0</v>
      </c>
      <c r="I12" s="255"/>
      <c r="J12" s="267"/>
      <c r="K12" s="267"/>
      <c r="L12" s="267"/>
      <c r="M12" s="99"/>
      <c r="N12" s="99"/>
    </row>
    <row r="13" spans="1:14" ht="12.75" customHeight="1">
      <c r="A13" s="409"/>
      <c r="B13" s="409"/>
      <c r="C13" s="409"/>
      <c r="D13" s="393"/>
      <c r="E13" s="390"/>
      <c r="F13" s="393"/>
      <c r="G13" s="256" t="s">
        <v>632</v>
      </c>
      <c r="H13" s="255">
        <v>1020000</v>
      </c>
      <c r="I13" s="255">
        <v>20000</v>
      </c>
      <c r="J13" s="267">
        <v>500000</v>
      </c>
      <c r="K13" s="267">
        <v>500000</v>
      </c>
      <c r="L13" s="267"/>
      <c r="M13" s="99"/>
      <c r="N13" s="99"/>
    </row>
    <row r="14" spans="1:14" ht="12.75" customHeight="1">
      <c r="A14" s="410"/>
      <c r="B14" s="410"/>
      <c r="C14" s="410"/>
      <c r="D14" s="394"/>
      <c r="E14" s="391"/>
      <c r="F14" s="394"/>
      <c r="G14" s="256" t="s">
        <v>633</v>
      </c>
      <c r="H14" s="255"/>
      <c r="I14" s="255">
        <v>4800</v>
      </c>
      <c r="J14" s="267"/>
      <c r="K14" s="267"/>
      <c r="L14" s="267"/>
      <c r="M14" s="99"/>
      <c r="N14" s="99"/>
    </row>
    <row r="15" spans="1:14" ht="12.75" customHeight="1">
      <c r="A15" s="392" t="s">
        <v>105</v>
      </c>
      <c r="B15" s="408">
        <v>600</v>
      </c>
      <c r="C15" s="408">
        <v>60041</v>
      </c>
      <c r="D15" s="392" t="s">
        <v>231</v>
      </c>
      <c r="E15" s="389" t="s">
        <v>681</v>
      </c>
      <c r="F15" s="392" t="s">
        <v>238</v>
      </c>
      <c r="G15" s="256" t="s">
        <v>242</v>
      </c>
      <c r="H15" s="255">
        <v>0</v>
      </c>
      <c r="I15" s="255"/>
      <c r="J15" s="267"/>
      <c r="K15" s="267"/>
      <c r="L15" s="267"/>
      <c r="M15" s="99"/>
      <c r="N15" s="99"/>
    </row>
    <row r="16" spans="1:14" ht="12.75" customHeight="1">
      <c r="A16" s="409"/>
      <c r="B16" s="409"/>
      <c r="C16" s="409"/>
      <c r="D16" s="393"/>
      <c r="E16" s="390"/>
      <c r="F16" s="393"/>
      <c r="G16" s="256" t="s">
        <v>632</v>
      </c>
      <c r="H16" s="255">
        <v>10150000</v>
      </c>
      <c r="I16" s="255">
        <v>150000</v>
      </c>
      <c r="J16" s="267">
        <v>10000000</v>
      </c>
      <c r="K16" s="267"/>
      <c r="L16" s="267"/>
      <c r="M16" s="99"/>
      <c r="N16" s="99"/>
    </row>
    <row r="17" spans="1:14" ht="12.75" customHeight="1">
      <c r="A17" s="410"/>
      <c r="B17" s="410"/>
      <c r="C17" s="410"/>
      <c r="D17" s="394"/>
      <c r="E17" s="391"/>
      <c r="F17" s="394"/>
      <c r="G17" s="256" t="s">
        <v>633</v>
      </c>
      <c r="H17" s="255"/>
      <c r="I17" s="255">
        <v>104577.12</v>
      </c>
      <c r="J17" s="267"/>
      <c r="K17" s="267"/>
      <c r="L17" s="267"/>
      <c r="M17" s="99"/>
      <c r="N17" s="99"/>
    </row>
    <row r="18" spans="1:14" ht="15.75">
      <c r="A18" s="392" t="s">
        <v>108</v>
      </c>
      <c r="B18" s="392">
        <v>630</v>
      </c>
      <c r="C18" s="392">
        <v>63003</v>
      </c>
      <c r="D18" s="392" t="s">
        <v>231</v>
      </c>
      <c r="E18" s="389" t="s">
        <v>209</v>
      </c>
      <c r="F18" s="392" t="s">
        <v>683</v>
      </c>
      <c r="G18" s="256" t="s">
        <v>242</v>
      </c>
      <c r="H18" s="255">
        <v>5000000</v>
      </c>
      <c r="I18" s="255">
        <v>4730000</v>
      </c>
      <c r="J18" s="267"/>
      <c r="K18" s="267"/>
      <c r="L18" s="267"/>
      <c r="M18" s="99"/>
      <c r="N18" s="99"/>
    </row>
    <row r="19" spans="1:14" ht="15.75">
      <c r="A19" s="409"/>
      <c r="B19" s="393"/>
      <c r="C19" s="393"/>
      <c r="D19" s="393"/>
      <c r="E19" s="390"/>
      <c r="F19" s="393"/>
      <c r="G19" s="256" t="s">
        <v>632</v>
      </c>
      <c r="H19" s="255">
        <v>9400000</v>
      </c>
      <c r="I19" s="255">
        <v>8307508.24</v>
      </c>
      <c r="J19" s="267">
        <v>350000</v>
      </c>
      <c r="K19" s="267">
        <v>650000</v>
      </c>
      <c r="L19" s="267"/>
      <c r="M19" s="99"/>
      <c r="N19" s="99"/>
    </row>
    <row r="20" spans="1:14" ht="15.75">
      <c r="A20" s="410"/>
      <c r="B20" s="394"/>
      <c r="C20" s="394"/>
      <c r="D20" s="394"/>
      <c r="E20" s="391"/>
      <c r="F20" s="394"/>
      <c r="G20" s="256" t="s">
        <v>633</v>
      </c>
      <c r="H20" s="255"/>
      <c r="I20" s="255">
        <v>8307508.24</v>
      </c>
      <c r="J20" s="267"/>
      <c r="K20" s="267"/>
      <c r="L20" s="267"/>
      <c r="M20" s="99"/>
      <c r="N20" s="99"/>
    </row>
    <row r="21" spans="1:14" ht="15.75">
      <c r="A21" s="420" t="s">
        <v>111</v>
      </c>
      <c r="B21" s="392">
        <v>630</v>
      </c>
      <c r="C21" s="392">
        <v>63003</v>
      </c>
      <c r="D21" s="392" t="s">
        <v>229</v>
      </c>
      <c r="E21" s="392" t="s">
        <v>210</v>
      </c>
      <c r="F21" s="392" t="s">
        <v>212</v>
      </c>
      <c r="G21" s="256" t="s">
        <v>242</v>
      </c>
      <c r="H21" s="255">
        <v>600000</v>
      </c>
      <c r="I21" s="255">
        <v>500000</v>
      </c>
      <c r="J21" s="267"/>
      <c r="K21" s="267"/>
      <c r="L21" s="267"/>
      <c r="M21" s="99"/>
      <c r="N21" s="99"/>
    </row>
    <row r="22" spans="1:14" ht="15.75">
      <c r="A22" s="421"/>
      <c r="B22" s="393"/>
      <c r="C22" s="393"/>
      <c r="D22" s="393"/>
      <c r="E22" s="393"/>
      <c r="F22" s="393"/>
      <c r="G22" s="256" t="s">
        <v>632</v>
      </c>
      <c r="H22" s="255">
        <v>600000</v>
      </c>
      <c r="I22" s="255">
        <v>549690</v>
      </c>
      <c r="J22" s="267"/>
      <c r="K22" s="267"/>
      <c r="L22" s="267"/>
      <c r="M22" s="99"/>
      <c r="N22" s="99"/>
    </row>
    <row r="23" spans="1:14" ht="15.75">
      <c r="A23" s="422"/>
      <c r="B23" s="394"/>
      <c r="C23" s="394"/>
      <c r="D23" s="394"/>
      <c r="E23" s="394"/>
      <c r="F23" s="394"/>
      <c r="G23" s="256" t="s">
        <v>633</v>
      </c>
      <c r="H23" s="255"/>
      <c r="I23" s="255">
        <v>546897.05</v>
      </c>
      <c r="J23" s="267"/>
      <c r="K23" s="267"/>
      <c r="L23" s="267"/>
      <c r="M23" s="99"/>
      <c r="N23" s="99"/>
    </row>
    <row r="24" spans="1:14" ht="15.75">
      <c r="A24" s="420" t="s">
        <v>114</v>
      </c>
      <c r="B24" s="392">
        <v>630</v>
      </c>
      <c r="C24" s="392">
        <v>63003</v>
      </c>
      <c r="D24" s="392" t="s">
        <v>229</v>
      </c>
      <c r="E24" s="389" t="s">
        <v>682</v>
      </c>
      <c r="F24" s="392">
        <v>2010</v>
      </c>
      <c r="G24" s="256" t="s">
        <v>242</v>
      </c>
      <c r="H24" s="255">
        <v>0</v>
      </c>
      <c r="I24" s="255">
        <v>0</v>
      </c>
      <c r="J24" s="267"/>
      <c r="K24" s="267"/>
      <c r="L24" s="267"/>
      <c r="M24" s="99"/>
      <c r="N24" s="99"/>
    </row>
    <row r="25" spans="1:14" ht="15.75">
      <c r="A25" s="421"/>
      <c r="B25" s="393"/>
      <c r="C25" s="393"/>
      <c r="D25" s="393"/>
      <c r="E25" s="390"/>
      <c r="F25" s="393"/>
      <c r="G25" s="256" t="s">
        <v>632</v>
      </c>
      <c r="H25" s="255">
        <v>45761.5</v>
      </c>
      <c r="I25" s="255">
        <v>45761.5</v>
      </c>
      <c r="J25" s="267"/>
      <c r="K25" s="267"/>
      <c r="L25" s="267"/>
      <c r="M25" s="99"/>
      <c r="N25" s="99"/>
    </row>
    <row r="26" spans="1:14" ht="15.75">
      <c r="A26" s="422"/>
      <c r="B26" s="394"/>
      <c r="C26" s="394"/>
      <c r="D26" s="394"/>
      <c r="E26" s="391"/>
      <c r="F26" s="394"/>
      <c r="G26" s="256" t="s">
        <v>633</v>
      </c>
      <c r="H26" s="255"/>
      <c r="I26" s="255">
        <v>45761.5</v>
      </c>
      <c r="J26" s="267"/>
      <c r="K26" s="267"/>
      <c r="L26" s="267"/>
      <c r="M26" s="99"/>
      <c r="N26" s="99"/>
    </row>
    <row r="27" spans="1:14" ht="12.75" customHeight="1">
      <c r="A27" s="420" t="s">
        <v>117</v>
      </c>
      <c r="B27" s="392">
        <v>750</v>
      </c>
      <c r="C27" s="392">
        <v>75023</v>
      </c>
      <c r="D27" s="389" t="s">
        <v>232</v>
      </c>
      <c r="E27" s="425" t="s">
        <v>230</v>
      </c>
      <c r="F27" s="428" t="s">
        <v>207</v>
      </c>
      <c r="G27" s="256" t="s">
        <v>242</v>
      </c>
      <c r="H27" s="267">
        <v>550000</v>
      </c>
      <c r="I27" s="268">
        <v>95000</v>
      </c>
      <c r="J27" s="268">
        <v>390000</v>
      </c>
      <c r="K27" s="267"/>
      <c r="L27" s="267"/>
      <c r="M27" s="99"/>
      <c r="N27" s="99"/>
    </row>
    <row r="28" spans="1:14" ht="15.75">
      <c r="A28" s="421"/>
      <c r="B28" s="393"/>
      <c r="C28" s="393"/>
      <c r="D28" s="390"/>
      <c r="E28" s="426"/>
      <c r="F28" s="429"/>
      <c r="G28" s="256" t="s">
        <v>632</v>
      </c>
      <c r="H28" s="267">
        <v>350000</v>
      </c>
      <c r="I28" s="268">
        <v>95000</v>
      </c>
      <c r="J28" s="268">
        <v>100000</v>
      </c>
      <c r="K28" s="267"/>
      <c r="L28" s="267"/>
      <c r="M28" s="99"/>
      <c r="N28" s="99"/>
    </row>
    <row r="29" spans="1:14" ht="15.75">
      <c r="A29" s="422"/>
      <c r="B29" s="394"/>
      <c r="C29" s="394"/>
      <c r="D29" s="391"/>
      <c r="E29" s="427"/>
      <c r="F29" s="430"/>
      <c r="G29" s="256" t="s">
        <v>633</v>
      </c>
      <c r="H29" s="267"/>
      <c r="I29" s="268">
        <v>10370</v>
      </c>
      <c r="J29" s="268"/>
      <c r="K29" s="267"/>
      <c r="L29" s="267"/>
      <c r="M29" s="99"/>
      <c r="N29" s="99"/>
    </row>
    <row r="30" spans="1:15" ht="16.5" customHeight="1">
      <c r="A30" s="420" t="s">
        <v>120</v>
      </c>
      <c r="B30" s="392">
        <v>750</v>
      </c>
      <c r="C30" s="392">
        <v>75095</v>
      </c>
      <c r="D30" s="389" t="s">
        <v>232</v>
      </c>
      <c r="E30" s="425" t="s">
        <v>236</v>
      </c>
      <c r="F30" s="428" t="s">
        <v>237</v>
      </c>
      <c r="G30" s="256" t="s">
        <v>242</v>
      </c>
      <c r="H30" s="267">
        <v>692936</v>
      </c>
      <c r="I30" s="267">
        <v>524352</v>
      </c>
      <c r="J30" s="267">
        <v>74172</v>
      </c>
      <c r="K30" s="267">
        <v>75672</v>
      </c>
      <c r="L30" s="267">
        <v>1140</v>
      </c>
      <c r="M30" s="99"/>
      <c r="N30" s="99"/>
      <c r="O30" s="99"/>
    </row>
    <row r="31" spans="1:15" ht="16.5" customHeight="1">
      <c r="A31" s="421"/>
      <c r="B31" s="393"/>
      <c r="C31" s="393"/>
      <c r="D31" s="390"/>
      <c r="E31" s="426"/>
      <c r="F31" s="429"/>
      <c r="G31" s="256" t="s">
        <v>632</v>
      </c>
      <c r="H31" s="267">
        <v>692936</v>
      </c>
      <c r="I31" s="267">
        <v>480881</v>
      </c>
      <c r="J31" s="267">
        <v>74172</v>
      </c>
      <c r="K31" s="267">
        <v>74172</v>
      </c>
      <c r="L31" s="267">
        <v>39729</v>
      </c>
      <c r="M31" s="99"/>
      <c r="N31" s="99"/>
      <c r="O31" s="99"/>
    </row>
    <row r="32" spans="1:15" ht="16.5" customHeight="1">
      <c r="A32" s="422"/>
      <c r="B32" s="394"/>
      <c r="C32" s="394"/>
      <c r="D32" s="391"/>
      <c r="E32" s="427"/>
      <c r="F32" s="430"/>
      <c r="G32" s="256" t="s">
        <v>633</v>
      </c>
      <c r="H32" s="267"/>
      <c r="I32" s="267">
        <v>102.12</v>
      </c>
      <c r="J32" s="267"/>
      <c r="K32" s="267"/>
      <c r="L32" s="267"/>
      <c r="M32" s="99"/>
      <c r="N32" s="99"/>
      <c r="O32" s="99"/>
    </row>
    <row r="33" spans="1:15" ht="16.5" customHeight="1">
      <c r="A33" s="420" t="s">
        <v>684</v>
      </c>
      <c r="B33" s="392">
        <v>801</v>
      </c>
      <c r="C33" s="392">
        <v>80110</v>
      </c>
      <c r="D33" s="389" t="s">
        <v>685</v>
      </c>
      <c r="E33" s="425" t="s">
        <v>686</v>
      </c>
      <c r="F33" s="428" t="s">
        <v>687</v>
      </c>
      <c r="G33" s="256" t="s">
        <v>242</v>
      </c>
      <c r="H33" s="267">
        <v>0</v>
      </c>
      <c r="I33" s="267"/>
      <c r="J33" s="267"/>
      <c r="K33" s="267"/>
      <c r="L33" s="267"/>
      <c r="M33" s="99"/>
      <c r="N33" s="99"/>
      <c r="O33" s="99"/>
    </row>
    <row r="34" spans="1:15" ht="16.5" customHeight="1">
      <c r="A34" s="421"/>
      <c r="B34" s="393"/>
      <c r="C34" s="393"/>
      <c r="D34" s="390"/>
      <c r="E34" s="426"/>
      <c r="F34" s="429"/>
      <c r="G34" s="256" t="s">
        <v>632</v>
      </c>
      <c r="H34" s="267">
        <v>671440</v>
      </c>
      <c r="I34" s="267">
        <v>114040</v>
      </c>
      <c r="J34" s="267"/>
      <c r="K34" s="267"/>
      <c r="L34" s="267"/>
      <c r="M34" s="99"/>
      <c r="N34" s="99"/>
      <c r="O34" s="99"/>
    </row>
    <row r="35" spans="1:15" ht="16.5" customHeight="1">
      <c r="A35" s="422"/>
      <c r="B35" s="394"/>
      <c r="C35" s="394"/>
      <c r="D35" s="391"/>
      <c r="E35" s="427"/>
      <c r="F35" s="430"/>
      <c r="G35" s="256" t="s">
        <v>633</v>
      </c>
      <c r="H35" s="267"/>
      <c r="I35" s="267">
        <v>109299.65</v>
      </c>
      <c r="J35" s="267"/>
      <c r="K35" s="267"/>
      <c r="L35" s="267"/>
      <c r="M35" s="99"/>
      <c r="N35" s="99"/>
      <c r="O35" s="99"/>
    </row>
    <row r="36" spans="1:14" ht="16.5" customHeight="1">
      <c r="A36" s="420" t="s">
        <v>688</v>
      </c>
      <c r="B36" s="392">
        <v>853</v>
      </c>
      <c r="C36" s="392">
        <v>85395</v>
      </c>
      <c r="D36" s="392" t="s">
        <v>233</v>
      </c>
      <c r="E36" s="425" t="s">
        <v>234</v>
      </c>
      <c r="F36" s="428" t="s">
        <v>235</v>
      </c>
      <c r="G36" s="256" t="s">
        <v>242</v>
      </c>
      <c r="H36" s="267">
        <v>500000</v>
      </c>
      <c r="I36" s="267">
        <v>72000</v>
      </c>
      <c r="J36" s="267">
        <v>100000</v>
      </c>
      <c r="K36" s="267">
        <v>100000</v>
      </c>
      <c r="L36" s="267">
        <v>100000</v>
      </c>
      <c r="M36" s="99"/>
      <c r="N36" s="99"/>
    </row>
    <row r="37" spans="1:14" ht="16.5" customHeight="1">
      <c r="A37" s="421"/>
      <c r="B37" s="393"/>
      <c r="C37" s="393"/>
      <c r="D37" s="393"/>
      <c r="E37" s="426"/>
      <c r="F37" s="429"/>
      <c r="G37" s="256" t="s">
        <v>632</v>
      </c>
      <c r="H37" s="267">
        <v>650000</v>
      </c>
      <c r="I37" s="267">
        <v>117197</v>
      </c>
      <c r="J37" s="267">
        <v>119000</v>
      </c>
      <c r="K37" s="267">
        <v>119000</v>
      </c>
      <c r="L37" s="267">
        <v>119000</v>
      </c>
      <c r="M37" s="99"/>
      <c r="N37" s="99"/>
    </row>
    <row r="38" spans="1:14" ht="16.5" customHeight="1">
      <c r="A38" s="422"/>
      <c r="B38" s="394"/>
      <c r="C38" s="394"/>
      <c r="D38" s="394"/>
      <c r="E38" s="427"/>
      <c r="F38" s="430"/>
      <c r="G38" s="256" t="s">
        <v>633</v>
      </c>
      <c r="H38" s="267">
        <v>650000</v>
      </c>
      <c r="I38" s="267">
        <v>117197</v>
      </c>
      <c r="J38" s="267"/>
      <c r="K38" s="267"/>
      <c r="L38" s="267"/>
      <c r="M38" s="99"/>
      <c r="N38" s="99"/>
    </row>
    <row r="39" spans="1:14" ht="12.75" customHeight="1">
      <c r="A39" s="420" t="s">
        <v>689</v>
      </c>
      <c r="B39" s="392">
        <v>853</v>
      </c>
      <c r="C39" s="392">
        <v>85395</v>
      </c>
      <c r="D39" s="392" t="s">
        <v>233</v>
      </c>
      <c r="E39" s="425" t="s">
        <v>694</v>
      </c>
      <c r="F39" s="428">
        <v>2010</v>
      </c>
      <c r="G39" s="256" t="s">
        <v>242</v>
      </c>
      <c r="H39" s="267"/>
      <c r="I39" s="267"/>
      <c r="J39" s="267"/>
      <c r="K39" s="267"/>
      <c r="L39" s="267"/>
      <c r="M39" s="99"/>
      <c r="N39" s="99"/>
    </row>
    <row r="40" spans="1:14" ht="15.75">
      <c r="A40" s="421"/>
      <c r="B40" s="393"/>
      <c r="C40" s="393"/>
      <c r="D40" s="393"/>
      <c r="E40" s="426"/>
      <c r="F40" s="429"/>
      <c r="G40" s="256" t="s">
        <v>632</v>
      </c>
      <c r="H40" s="267">
        <v>49868.09</v>
      </c>
      <c r="I40" s="267">
        <v>49868.09</v>
      </c>
      <c r="J40" s="267"/>
      <c r="K40" s="267"/>
      <c r="L40" s="267"/>
      <c r="M40" s="99"/>
      <c r="N40" s="99"/>
    </row>
    <row r="41" spans="1:14" ht="15.75">
      <c r="A41" s="422"/>
      <c r="B41" s="394"/>
      <c r="C41" s="394"/>
      <c r="D41" s="394"/>
      <c r="E41" s="427"/>
      <c r="F41" s="430"/>
      <c r="G41" s="256" t="s">
        <v>633</v>
      </c>
      <c r="H41" s="267"/>
      <c r="I41" s="267">
        <v>49868.09</v>
      </c>
      <c r="J41" s="267"/>
      <c r="K41" s="267"/>
      <c r="L41" s="267"/>
      <c r="M41" s="99"/>
      <c r="N41" s="99"/>
    </row>
    <row r="42" spans="1:14" ht="12.75" customHeight="1">
      <c r="A42" s="420" t="s">
        <v>690</v>
      </c>
      <c r="B42" s="392">
        <v>853</v>
      </c>
      <c r="C42" s="392">
        <v>85395</v>
      </c>
      <c r="D42" s="392" t="s">
        <v>233</v>
      </c>
      <c r="E42" s="425" t="s">
        <v>695</v>
      </c>
      <c r="F42" s="428">
        <v>2010</v>
      </c>
      <c r="G42" s="256" t="s">
        <v>242</v>
      </c>
      <c r="H42" s="267"/>
      <c r="I42" s="267"/>
      <c r="J42" s="267"/>
      <c r="K42" s="267"/>
      <c r="L42" s="267"/>
      <c r="M42" s="99"/>
      <c r="N42" s="99"/>
    </row>
    <row r="43" spans="1:14" ht="15.75">
      <c r="A43" s="421"/>
      <c r="B43" s="393"/>
      <c r="C43" s="393"/>
      <c r="D43" s="393"/>
      <c r="E43" s="426"/>
      <c r="F43" s="429"/>
      <c r="G43" s="256" t="s">
        <v>632</v>
      </c>
      <c r="H43" s="267">
        <v>49997</v>
      </c>
      <c r="I43" s="267">
        <v>49997</v>
      </c>
      <c r="J43" s="267"/>
      <c r="K43" s="267"/>
      <c r="L43" s="267"/>
      <c r="M43" s="99"/>
      <c r="N43" s="99"/>
    </row>
    <row r="44" spans="1:14" ht="15.75">
      <c r="A44" s="422"/>
      <c r="B44" s="394"/>
      <c r="C44" s="394"/>
      <c r="D44" s="394"/>
      <c r="E44" s="427"/>
      <c r="F44" s="430"/>
      <c r="G44" s="256" t="s">
        <v>633</v>
      </c>
      <c r="H44" s="267"/>
      <c r="I44" s="267">
        <v>49035.94</v>
      </c>
      <c r="J44" s="267"/>
      <c r="K44" s="267"/>
      <c r="L44" s="267"/>
      <c r="M44" s="99"/>
      <c r="N44" s="99"/>
    </row>
    <row r="45" spans="1:14" ht="16.5" customHeight="1">
      <c r="A45" s="420" t="s">
        <v>691</v>
      </c>
      <c r="B45" s="392">
        <v>853</v>
      </c>
      <c r="C45" s="392">
        <v>85395</v>
      </c>
      <c r="D45" s="392" t="s">
        <v>233</v>
      </c>
      <c r="E45" s="425" t="s">
        <v>696</v>
      </c>
      <c r="F45" s="428">
        <v>2010</v>
      </c>
      <c r="G45" s="256" t="s">
        <v>242</v>
      </c>
      <c r="H45" s="267"/>
      <c r="I45" s="267"/>
      <c r="J45" s="267"/>
      <c r="K45" s="267"/>
      <c r="L45" s="267"/>
      <c r="M45" s="99"/>
      <c r="N45" s="99"/>
    </row>
    <row r="46" spans="1:14" ht="16.5" customHeight="1">
      <c r="A46" s="421"/>
      <c r="B46" s="393"/>
      <c r="C46" s="393"/>
      <c r="D46" s="393"/>
      <c r="E46" s="426"/>
      <c r="F46" s="429"/>
      <c r="G46" s="256" t="s">
        <v>632</v>
      </c>
      <c r="H46" s="267">
        <v>49405.77</v>
      </c>
      <c r="I46" s="267">
        <v>49405.77</v>
      </c>
      <c r="J46" s="267"/>
      <c r="K46" s="267"/>
      <c r="L46" s="267"/>
      <c r="M46" s="99"/>
      <c r="N46" s="99"/>
    </row>
    <row r="47" spans="1:14" ht="16.5" customHeight="1">
      <c r="A47" s="422"/>
      <c r="B47" s="394"/>
      <c r="C47" s="394"/>
      <c r="D47" s="394"/>
      <c r="E47" s="427"/>
      <c r="F47" s="430"/>
      <c r="G47" s="256" t="s">
        <v>633</v>
      </c>
      <c r="H47" s="267"/>
      <c r="I47" s="267">
        <v>49405.77</v>
      </c>
      <c r="J47" s="267"/>
      <c r="K47" s="267"/>
      <c r="L47" s="267"/>
      <c r="M47" s="99"/>
      <c r="N47" s="99"/>
    </row>
    <row r="48" spans="1:14" ht="16.5" customHeight="1">
      <c r="A48" s="420" t="s">
        <v>692</v>
      </c>
      <c r="B48" s="392">
        <v>853</v>
      </c>
      <c r="C48" s="392">
        <v>85395</v>
      </c>
      <c r="D48" s="392" t="s">
        <v>233</v>
      </c>
      <c r="E48" s="425" t="s">
        <v>697</v>
      </c>
      <c r="F48" s="428">
        <v>2011</v>
      </c>
      <c r="G48" s="256" t="s">
        <v>242</v>
      </c>
      <c r="H48" s="267"/>
      <c r="I48" s="267"/>
      <c r="J48" s="267"/>
      <c r="K48" s="267"/>
      <c r="L48" s="267"/>
      <c r="M48" s="99"/>
      <c r="N48" s="99"/>
    </row>
    <row r="49" spans="1:14" ht="16.5" customHeight="1">
      <c r="A49" s="421"/>
      <c r="B49" s="393"/>
      <c r="C49" s="393"/>
      <c r="D49" s="393"/>
      <c r="E49" s="426"/>
      <c r="F49" s="429"/>
      <c r="G49" s="256" t="s">
        <v>632</v>
      </c>
      <c r="H49" s="267">
        <v>48800</v>
      </c>
      <c r="I49" s="267"/>
      <c r="J49" s="267">
        <v>48800</v>
      </c>
      <c r="K49" s="267"/>
      <c r="L49" s="267"/>
      <c r="M49" s="99"/>
      <c r="N49" s="99"/>
    </row>
    <row r="50" spans="1:14" ht="16.5" customHeight="1">
      <c r="A50" s="422"/>
      <c r="B50" s="394"/>
      <c r="C50" s="394"/>
      <c r="D50" s="394"/>
      <c r="E50" s="427"/>
      <c r="F50" s="430"/>
      <c r="G50" s="256" t="s">
        <v>633</v>
      </c>
      <c r="H50" s="267">
        <v>0</v>
      </c>
      <c r="I50" s="267"/>
      <c r="J50" s="267"/>
      <c r="K50" s="267"/>
      <c r="L50" s="267"/>
      <c r="M50" s="99"/>
      <c r="N50" s="99"/>
    </row>
    <row r="51" spans="1:14" ht="12.75" customHeight="1">
      <c r="A51" s="420" t="s">
        <v>693</v>
      </c>
      <c r="B51" s="392">
        <v>853</v>
      </c>
      <c r="C51" s="392">
        <v>85395</v>
      </c>
      <c r="D51" s="392" t="s">
        <v>233</v>
      </c>
      <c r="E51" s="425" t="s">
        <v>698</v>
      </c>
      <c r="F51" s="428">
        <v>2010</v>
      </c>
      <c r="G51" s="256" t="s">
        <v>242</v>
      </c>
      <c r="H51" s="267"/>
      <c r="I51" s="267"/>
      <c r="J51" s="267"/>
      <c r="K51" s="267"/>
      <c r="L51" s="267"/>
      <c r="M51" s="99"/>
      <c r="N51" s="99"/>
    </row>
    <row r="52" spans="1:14" ht="15.75">
      <c r="A52" s="421"/>
      <c r="B52" s="393"/>
      <c r="C52" s="393"/>
      <c r="D52" s="393"/>
      <c r="E52" s="426"/>
      <c r="F52" s="429"/>
      <c r="G52" s="256" t="s">
        <v>632</v>
      </c>
      <c r="H52" s="267">
        <v>42604.19</v>
      </c>
      <c r="I52" s="267">
        <v>42604.19</v>
      </c>
      <c r="J52" s="267"/>
      <c r="K52" s="267"/>
      <c r="L52" s="267"/>
      <c r="M52" s="99"/>
      <c r="N52" s="99"/>
    </row>
    <row r="53" spans="1:14" ht="15.75">
      <c r="A53" s="422"/>
      <c r="B53" s="394"/>
      <c r="C53" s="394"/>
      <c r="D53" s="394"/>
      <c r="E53" s="427"/>
      <c r="F53" s="430"/>
      <c r="G53" s="256" t="s">
        <v>633</v>
      </c>
      <c r="H53" s="267"/>
      <c r="I53" s="267">
        <v>42604.19</v>
      </c>
      <c r="J53" s="267"/>
      <c r="K53" s="267"/>
      <c r="L53" s="267"/>
      <c r="M53" s="99"/>
      <c r="N53" s="99"/>
    </row>
    <row r="54" spans="1:14" ht="16.5" customHeight="1">
      <c r="A54" s="423" t="s">
        <v>700</v>
      </c>
      <c r="B54" s="392">
        <v>900</v>
      </c>
      <c r="C54" s="392">
        <v>90001</v>
      </c>
      <c r="D54" s="392" t="s">
        <v>229</v>
      </c>
      <c r="E54" s="424" t="s">
        <v>699</v>
      </c>
      <c r="F54" s="388" t="s">
        <v>211</v>
      </c>
      <c r="G54" s="256" t="s">
        <v>242</v>
      </c>
      <c r="H54" s="172">
        <v>5200000</v>
      </c>
      <c r="I54" s="255">
        <v>3525000</v>
      </c>
      <c r="J54" s="255">
        <v>475000</v>
      </c>
      <c r="K54" s="255">
        <v>1000000</v>
      </c>
      <c r="L54" s="267"/>
      <c r="M54" s="99"/>
      <c r="N54" s="99"/>
    </row>
    <row r="55" spans="1:14" ht="16.5" customHeight="1">
      <c r="A55" s="423"/>
      <c r="B55" s="393"/>
      <c r="C55" s="393"/>
      <c r="D55" s="393"/>
      <c r="E55" s="424"/>
      <c r="F55" s="388"/>
      <c r="G55" s="256" t="s">
        <v>632</v>
      </c>
      <c r="H55" s="172">
        <v>3600000</v>
      </c>
      <c r="I55" s="255">
        <v>2300000</v>
      </c>
      <c r="J55" s="255"/>
      <c r="K55" s="255"/>
      <c r="L55" s="267"/>
      <c r="M55" s="99"/>
      <c r="N55" s="99"/>
    </row>
    <row r="56" spans="1:14" ht="16.5" customHeight="1">
      <c r="A56" s="423"/>
      <c r="B56" s="394"/>
      <c r="C56" s="394"/>
      <c r="D56" s="394"/>
      <c r="E56" s="424"/>
      <c r="F56" s="388"/>
      <c r="G56" s="256" t="s">
        <v>633</v>
      </c>
      <c r="H56" s="172"/>
      <c r="I56" s="255">
        <v>1599637.76</v>
      </c>
      <c r="J56" s="255"/>
      <c r="K56" s="255"/>
      <c r="L56" s="267"/>
      <c r="M56" s="99"/>
      <c r="N56" s="99"/>
    </row>
    <row r="57" spans="1:14" ht="16.5" customHeight="1">
      <c r="A57" s="420" t="s">
        <v>701</v>
      </c>
      <c r="B57" s="392">
        <v>900</v>
      </c>
      <c r="C57" s="392">
        <v>90095</v>
      </c>
      <c r="D57" s="392" t="s">
        <v>229</v>
      </c>
      <c r="E57" s="425" t="s">
        <v>707</v>
      </c>
      <c r="F57" s="428">
        <v>2010</v>
      </c>
      <c r="G57" s="256" t="s">
        <v>242</v>
      </c>
      <c r="H57" s="267"/>
      <c r="I57" s="267"/>
      <c r="J57" s="267"/>
      <c r="K57" s="267"/>
      <c r="L57" s="267"/>
      <c r="M57" s="99"/>
      <c r="N57" s="99"/>
    </row>
    <row r="58" spans="1:14" ht="16.5" customHeight="1">
      <c r="A58" s="421"/>
      <c r="B58" s="393"/>
      <c r="C58" s="393"/>
      <c r="D58" s="393"/>
      <c r="E58" s="426"/>
      <c r="F58" s="429"/>
      <c r="G58" s="256" t="s">
        <v>632</v>
      </c>
      <c r="H58" s="267">
        <v>58000</v>
      </c>
      <c r="I58" s="267">
        <v>58000</v>
      </c>
      <c r="J58" s="267"/>
      <c r="K58" s="267"/>
      <c r="L58" s="267"/>
      <c r="M58" s="99"/>
      <c r="N58" s="99"/>
    </row>
    <row r="59" spans="1:14" ht="16.5" customHeight="1">
      <c r="A59" s="422"/>
      <c r="B59" s="394"/>
      <c r="C59" s="394"/>
      <c r="D59" s="394"/>
      <c r="E59" s="427"/>
      <c r="F59" s="430"/>
      <c r="G59" s="256" t="s">
        <v>633</v>
      </c>
      <c r="H59" s="267"/>
      <c r="I59" s="267">
        <v>57599.99</v>
      </c>
      <c r="J59" s="267"/>
      <c r="K59" s="267"/>
      <c r="L59" s="267"/>
      <c r="M59" s="99"/>
      <c r="N59" s="99"/>
    </row>
    <row r="60" spans="1:14" ht="16.5" customHeight="1">
      <c r="A60" s="420" t="s">
        <v>702</v>
      </c>
      <c r="B60" s="392">
        <v>926</v>
      </c>
      <c r="C60" s="392">
        <v>92601</v>
      </c>
      <c r="D60" s="392" t="s">
        <v>229</v>
      </c>
      <c r="E60" s="425" t="s">
        <v>708</v>
      </c>
      <c r="F60" s="428" t="s">
        <v>238</v>
      </c>
      <c r="G60" s="256" t="s">
        <v>242</v>
      </c>
      <c r="H60" s="267"/>
      <c r="I60" s="267"/>
      <c r="J60" s="267"/>
      <c r="K60" s="267"/>
      <c r="L60" s="267"/>
      <c r="M60" s="99"/>
      <c r="N60" s="99"/>
    </row>
    <row r="61" spans="1:14" ht="16.5" customHeight="1">
      <c r="A61" s="421"/>
      <c r="B61" s="393"/>
      <c r="C61" s="393"/>
      <c r="D61" s="393"/>
      <c r="E61" s="426"/>
      <c r="F61" s="429"/>
      <c r="G61" s="256" t="s">
        <v>632</v>
      </c>
      <c r="H61" s="267">
        <v>900000</v>
      </c>
      <c r="I61" s="267">
        <v>950000</v>
      </c>
      <c r="J61" s="267"/>
      <c r="K61" s="267"/>
      <c r="L61" s="267"/>
      <c r="M61" s="99"/>
      <c r="N61" s="99"/>
    </row>
    <row r="62" spans="1:14" ht="16.5" customHeight="1">
      <c r="A62" s="422"/>
      <c r="B62" s="394"/>
      <c r="C62" s="394"/>
      <c r="D62" s="394"/>
      <c r="E62" s="427"/>
      <c r="F62" s="430"/>
      <c r="G62" s="256" t="s">
        <v>633</v>
      </c>
      <c r="H62" s="267"/>
      <c r="I62" s="267">
        <f>943084.72</f>
        <v>943084.72</v>
      </c>
      <c r="J62" s="267"/>
      <c r="K62" s="267"/>
      <c r="L62" s="267"/>
      <c r="M62" s="99"/>
      <c r="N62" s="99"/>
    </row>
    <row r="63" spans="1:14" ht="12.75" customHeight="1">
      <c r="A63" s="420" t="s">
        <v>703</v>
      </c>
      <c r="B63" s="392">
        <v>926</v>
      </c>
      <c r="C63" s="392">
        <v>92601</v>
      </c>
      <c r="D63" s="392" t="s">
        <v>229</v>
      </c>
      <c r="E63" s="425" t="s">
        <v>709</v>
      </c>
      <c r="F63" s="428" t="s">
        <v>238</v>
      </c>
      <c r="G63" s="256" t="s">
        <v>242</v>
      </c>
      <c r="H63" s="267"/>
      <c r="I63" s="267"/>
      <c r="J63" s="267"/>
      <c r="K63" s="267"/>
      <c r="L63" s="267"/>
      <c r="M63" s="99"/>
      <c r="N63" s="99"/>
    </row>
    <row r="64" spans="1:14" ht="15.75">
      <c r="A64" s="421"/>
      <c r="B64" s="393"/>
      <c r="C64" s="393"/>
      <c r="D64" s="393"/>
      <c r="E64" s="426"/>
      <c r="F64" s="429"/>
      <c r="G64" s="256" t="s">
        <v>632</v>
      </c>
      <c r="H64" s="267">
        <v>328826.66</v>
      </c>
      <c r="I64" s="267">
        <v>328826.66</v>
      </c>
      <c r="J64" s="267"/>
      <c r="K64" s="267"/>
      <c r="L64" s="267"/>
      <c r="M64" s="99"/>
      <c r="N64" s="99"/>
    </row>
    <row r="65" spans="1:14" ht="15.75">
      <c r="A65" s="422"/>
      <c r="B65" s="394"/>
      <c r="C65" s="394"/>
      <c r="D65" s="394"/>
      <c r="E65" s="427"/>
      <c r="F65" s="430"/>
      <c r="G65" s="256" t="s">
        <v>633</v>
      </c>
      <c r="H65" s="267"/>
      <c r="I65" s="267">
        <f>328826.66</f>
        <v>328826.66</v>
      </c>
      <c r="J65" s="267"/>
      <c r="K65" s="267"/>
      <c r="L65" s="267"/>
      <c r="M65" s="99"/>
      <c r="N65" s="99"/>
    </row>
    <row r="66" spans="1:14" ht="12.75" customHeight="1">
      <c r="A66" s="423" t="s">
        <v>704</v>
      </c>
      <c r="B66" s="392">
        <v>926</v>
      </c>
      <c r="C66" s="392">
        <v>92605</v>
      </c>
      <c r="D66" s="402" t="s">
        <v>705</v>
      </c>
      <c r="E66" s="424" t="s">
        <v>706</v>
      </c>
      <c r="F66" s="388">
        <v>2010</v>
      </c>
      <c r="G66" s="256" t="s">
        <v>242</v>
      </c>
      <c r="H66" s="172"/>
      <c r="I66" s="255"/>
      <c r="J66" s="255"/>
      <c r="K66" s="255"/>
      <c r="L66" s="267"/>
      <c r="M66" s="99"/>
      <c r="N66" s="99"/>
    </row>
    <row r="67" spans="1:14" ht="15.75">
      <c r="A67" s="423"/>
      <c r="B67" s="393"/>
      <c r="C67" s="393"/>
      <c r="D67" s="406"/>
      <c r="E67" s="424"/>
      <c r="F67" s="388"/>
      <c r="G67" s="256" t="s">
        <v>632</v>
      </c>
      <c r="H67" s="172">
        <v>55200</v>
      </c>
      <c r="I67" s="255">
        <v>55200</v>
      </c>
      <c r="J67" s="255"/>
      <c r="K67" s="255"/>
      <c r="L67" s="267"/>
      <c r="M67" s="99"/>
      <c r="N67" s="99"/>
    </row>
    <row r="68" spans="1:14" ht="18" customHeight="1">
      <c r="A68" s="423"/>
      <c r="B68" s="394"/>
      <c r="C68" s="394"/>
      <c r="D68" s="407"/>
      <c r="E68" s="424"/>
      <c r="F68" s="388"/>
      <c r="G68" s="256" t="s">
        <v>633</v>
      </c>
      <c r="H68" s="172"/>
      <c r="I68" s="255">
        <v>37819.8</v>
      </c>
      <c r="J68" s="255"/>
      <c r="K68" s="255"/>
      <c r="L68" s="267"/>
      <c r="M68" s="99"/>
      <c r="N68" s="99"/>
    </row>
    <row r="69" spans="1:12" ht="15.75">
      <c r="A69" s="21"/>
      <c r="B69" s="21"/>
      <c r="C69" s="21"/>
      <c r="D69" s="21"/>
      <c r="E69" s="21"/>
      <c r="F69" s="21"/>
      <c r="G69" s="256" t="s">
        <v>242</v>
      </c>
      <c r="H69" s="269">
        <f aca="true" t="shared" si="0" ref="H69:L71">H9+H18+H21+H27+H30+H36+H54+H12+H15+H24+H33+H39+H42+H45+H48+H51+H57+H60+H63+H66</f>
        <v>13887936</v>
      </c>
      <c r="I69" s="269">
        <f t="shared" si="0"/>
        <v>10727128</v>
      </c>
      <c r="J69" s="269">
        <f t="shared" si="0"/>
        <v>1039172</v>
      </c>
      <c r="K69" s="269">
        <f t="shared" si="0"/>
        <v>1175672</v>
      </c>
      <c r="L69" s="269">
        <f t="shared" si="0"/>
        <v>101140</v>
      </c>
    </row>
    <row r="70" spans="1:12" ht="15.75">
      <c r="A70" s="387"/>
      <c r="B70" s="387"/>
      <c r="C70" s="387"/>
      <c r="D70" s="387"/>
      <c r="E70" s="387"/>
      <c r="F70" s="21"/>
      <c r="G70" s="256" t="s">
        <v>632</v>
      </c>
      <c r="H70" s="269">
        <f t="shared" si="0"/>
        <v>29812839.21</v>
      </c>
      <c r="I70" s="269">
        <f>I10+I19+I22+I28+I31+I37+I55+I13+I16+I25+I34+I40+I43+I46+I49+I52+I58+I61+I64+I67</f>
        <v>14763391.45</v>
      </c>
      <c r="J70" s="269">
        <f t="shared" si="0"/>
        <v>11191972</v>
      </c>
      <c r="K70" s="269">
        <f t="shared" si="0"/>
        <v>1343172</v>
      </c>
      <c r="L70" s="269">
        <f t="shared" si="0"/>
        <v>158729</v>
      </c>
    </row>
    <row r="71" spans="1:12" ht="15.75">
      <c r="A71" s="21"/>
      <c r="B71" s="21"/>
      <c r="C71" s="21"/>
      <c r="D71" s="21"/>
      <c r="E71" s="21"/>
      <c r="F71" s="21"/>
      <c r="G71" s="256" t="s">
        <v>633</v>
      </c>
      <c r="H71" s="269">
        <f t="shared" si="0"/>
        <v>650000</v>
      </c>
      <c r="I71" s="269">
        <f t="shared" si="0"/>
        <v>13387237.07</v>
      </c>
      <c r="J71" s="269">
        <f t="shared" si="0"/>
        <v>0</v>
      </c>
      <c r="K71" s="269">
        <f t="shared" si="0"/>
        <v>0</v>
      </c>
      <c r="L71" s="269">
        <f t="shared" si="0"/>
        <v>0</v>
      </c>
    </row>
    <row r="72" spans="1:12" ht="15.75">
      <c r="A72" s="21"/>
      <c r="B72" s="21"/>
      <c r="C72" s="21"/>
      <c r="D72" s="21"/>
      <c r="E72" s="21"/>
      <c r="F72" s="21"/>
      <c r="G72" s="256" t="s">
        <v>242</v>
      </c>
      <c r="H72" s="269">
        <v>13887936</v>
      </c>
      <c r="I72" s="269">
        <v>10727128</v>
      </c>
      <c r="J72" s="269">
        <v>1039172</v>
      </c>
      <c r="K72" s="269">
        <v>1175672</v>
      </c>
      <c r="L72" s="269">
        <v>101140</v>
      </c>
    </row>
    <row r="73" spans="1:12" ht="15.75">
      <c r="A73" s="21"/>
      <c r="B73" s="21"/>
      <c r="C73" s="21"/>
      <c r="D73" s="21"/>
      <c r="E73" s="21"/>
      <c r="F73" s="21"/>
      <c r="G73" s="256" t="s">
        <v>632</v>
      </c>
      <c r="H73" s="269">
        <v>29662839.21</v>
      </c>
      <c r="I73" s="269">
        <v>14410449.09</v>
      </c>
      <c r="J73" s="269">
        <v>11191972</v>
      </c>
      <c r="K73" s="269">
        <v>1343172</v>
      </c>
      <c r="L73" s="269">
        <v>158729</v>
      </c>
    </row>
    <row r="74" spans="1:12" ht="15.75">
      <c r="A74" s="21"/>
      <c r="B74" s="21"/>
      <c r="C74" s="21"/>
      <c r="D74" s="21"/>
      <c r="E74" s="21"/>
      <c r="F74" s="21"/>
      <c r="G74" s="256" t="s">
        <v>633</v>
      </c>
      <c r="H74" s="269"/>
      <c r="I74" s="269"/>
      <c r="J74" s="269"/>
      <c r="K74" s="269"/>
      <c r="L74" s="269"/>
    </row>
    <row r="75" spans="1:12" ht="15.75">
      <c r="A75" s="21"/>
      <c r="B75" s="21"/>
      <c r="C75" s="21"/>
      <c r="D75" s="21"/>
      <c r="E75" s="21"/>
      <c r="F75" s="21"/>
      <c r="G75" s="256" t="s">
        <v>242</v>
      </c>
      <c r="H75" s="269">
        <f>H69-H72</f>
        <v>0</v>
      </c>
      <c r="I75" s="269">
        <f aca="true" t="shared" si="1" ref="I75:L77">I69-I72</f>
        <v>0</v>
      </c>
      <c r="J75" s="269">
        <f t="shared" si="1"/>
        <v>0</v>
      </c>
      <c r="K75" s="269">
        <f t="shared" si="1"/>
        <v>0</v>
      </c>
      <c r="L75" s="269">
        <f t="shared" si="1"/>
        <v>0</v>
      </c>
    </row>
    <row r="76" spans="1:12" ht="15.75">
      <c r="A76" s="21"/>
      <c r="B76" s="21"/>
      <c r="C76" s="21"/>
      <c r="D76" s="21"/>
      <c r="E76" s="21"/>
      <c r="F76" s="21"/>
      <c r="G76" s="256" t="s">
        <v>632</v>
      </c>
      <c r="H76" s="269">
        <f>H70-H73</f>
        <v>150000</v>
      </c>
      <c r="I76" s="269">
        <f t="shared" si="1"/>
        <v>352942.3599999994</v>
      </c>
      <c r="J76" s="269">
        <f t="shared" si="1"/>
        <v>0</v>
      </c>
      <c r="K76" s="269">
        <f t="shared" si="1"/>
        <v>0</v>
      </c>
      <c r="L76" s="269">
        <f t="shared" si="1"/>
        <v>0</v>
      </c>
    </row>
    <row r="77" spans="1:12" ht="15.75">
      <c r="A77" s="21"/>
      <c r="B77" s="21"/>
      <c r="C77" s="21"/>
      <c r="D77" s="21"/>
      <c r="E77" s="21"/>
      <c r="F77" s="21"/>
      <c r="G77" s="256" t="s">
        <v>633</v>
      </c>
      <c r="H77" s="269">
        <f>H71-H74</f>
        <v>650000</v>
      </c>
      <c r="I77" s="269">
        <f t="shared" si="1"/>
        <v>13387237.07</v>
      </c>
      <c r="J77" s="269">
        <f t="shared" si="1"/>
        <v>0</v>
      </c>
      <c r="K77" s="269">
        <f t="shared" si="1"/>
        <v>0</v>
      </c>
      <c r="L77" s="269">
        <f t="shared" si="1"/>
        <v>0</v>
      </c>
    </row>
    <row r="78" spans="7:12" ht="12.75">
      <c r="G78" s="99"/>
      <c r="H78" s="99"/>
      <c r="I78" s="99"/>
      <c r="J78" s="99"/>
      <c r="K78" s="99"/>
      <c r="L78" s="99"/>
    </row>
    <row r="79" spans="7:12" ht="12.75">
      <c r="G79" s="99"/>
      <c r="H79" s="99"/>
      <c r="I79" s="99"/>
      <c r="J79" s="99"/>
      <c r="K79" s="99"/>
      <c r="L79" s="99"/>
    </row>
    <row r="80" spans="7:12" ht="12.75">
      <c r="G80" s="99"/>
      <c r="H80" s="99"/>
      <c r="I80" s="99"/>
      <c r="J80" s="99"/>
      <c r="K80" s="99"/>
      <c r="L80" s="99"/>
    </row>
    <row r="81" spans="7:12" ht="12.75">
      <c r="G81" s="99"/>
      <c r="H81" s="99"/>
      <c r="I81" s="99"/>
      <c r="J81" s="99"/>
      <c r="K81" s="99"/>
      <c r="L81" s="99"/>
    </row>
    <row r="82" spans="7:12" ht="12.75">
      <c r="G82" s="99"/>
      <c r="H82" s="99"/>
      <c r="I82" s="99"/>
      <c r="J82" s="99"/>
      <c r="K82" s="99"/>
      <c r="L82" s="99"/>
    </row>
    <row r="83" spans="7:12" ht="12.75">
      <c r="G83" s="99"/>
      <c r="H83" s="99"/>
      <c r="I83" s="99"/>
      <c r="J83" s="99"/>
      <c r="K83" s="99"/>
      <c r="L83" s="99"/>
    </row>
    <row r="84" spans="7:12" ht="12.75">
      <c r="G84" s="99"/>
      <c r="H84" s="99"/>
      <c r="I84" s="99"/>
      <c r="J84" s="99"/>
      <c r="K84" s="99"/>
      <c r="L84" s="99"/>
    </row>
    <row r="85" spans="7:12" ht="12.75">
      <c r="G85" s="99"/>
      <c r="H85" s="99"/>
      <c r="I85" s="99"/>
      <c r="J85" s="99"/>
      <c r="K85" s="99"/>
      <c r="L85" s="99"/>
    </row>
    <row r="86" spans="7:12" ht="12.75">
      <c r="G86" s="99"/>
      <c r="H86" s="99"/>
      <c r="I86" s="99"/>
      <c r="J86" s="99"/>
      <c r="K86" s="99"/>
      <c r="L86" s="99"/>
    </row>
    <row r="87" spans="7:12" ht="12.75">
      <c r="G87" s="99"/>
      <c r="H87" s="99"/>
      <c r="I87" s="99"/>
      <c r="J87" s="99"/>
      <c r="K87" s="99"/>
      <c r="L87" s="99"/>
    </row>
  </sheetData>
  <sheetProtection/>
  <mergeCells count="131">
    <mergeCell ref="A66:A68"/>
    <mergeCell ref="B66:B68"/>
    <mergeCell ref="C66:C68"/>
    <mergeCell ref="D66:D68"/>
    <mergeCell ref="E66:E68"/>
    <mergeCell ref="F66:F68"/>
    <mergeCell ref="A63:A65"/>
    <mergeCell ref="B63:B65"/>
    <mergeCell ref="C63:C65"/>
    <mergeCell ref="D63:D65"/>
    <mergeCell ref="E63:E65"/>
    <mergeCell ref="F63:F65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  <mergeCell ref="D39:D41"/>
    <mergeCell ref="E39:E41"/>
    <mergeCell ref="F39:F41"/>
    <mergeCell ref="A42:A44"/>
    <mergeCell ref="B42:B44"/>
    <mergeCell ref="C42:C44"/>
    <mergeCell ref="D42:D44"/>
    <mergeCell ref="E42:E44"/>
    <mergeCell ref="F42:F44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F33:F35"/>
    <mergeCell ref="A45:A47"/>
    <mergeCell ref="B45:B47"/>
    <mergeCell ref="C45:C47"/>
    <mergeCell ref="D45:D47"/>
    <mergeCell ref="E45:E47"/>
    <mergeCell ref="F45:F47"/>
    <mergeCell ref="A39:A41"/>
    <mergeCell ref="B39:B41"/>
    <mergeCell ref="C39:C41"/>
    <mergeCell ref="B24:B26"/>
    <mergeCell ref="C24:C26"/>
    <mergeCell ref="D24:D26"/>
    <mergeCell ref="E24:E26"/>
    <mergeCell ref="F24:F26"/>
    <mergeCell ref="A33:A35"/>
    <mergeCell ref="B33:B35"/>
    <mergeCell ref="C33:C35"/>
    <mergeCell ref="D33:D35"/>
    <mergeCell ref="E33:E35"/>
    <mergeCell ref="F12:F14"/>
    <mergeCell ref="A15:A17"/>
    <mergeCell ref="B15:B17"/>
    <mergeCell ref="C15:C17"/>
    <mergeCell ref="D15:D17"/>
    <mergeCell ref="E15:E17"/>
    <mergeCell ref="F15:F17"/>
    <mergeCell ref="E21:E23"/>
    <mergeCell ref="F21:F23"/>
    <mergeCell ref="F27:F29"/>
    <mergeCell ref="F30:F32"/>
    <mergeCell ref="F36:F38"/>
    <mergeCell ref="A12:A14"/>
    <mergeCell ref="B12:B14"/>
    <mergeCell ref="C12:C14"/>
    <mergeCell ref="D12:D14"/>
    <mergeCell ref="E12:E14"/>
    <mergeCell ref="D27:D29"/>
    <mergeCell ref="D30:D32"/>
    <mergeCell ref="D36:D38"/>
    <mergeCell ref="E36:E38"/>
    <mergeCell ref="E30:E32"/>
    <mergeCell ref="E27:E29"/>
    <mergeCell ref="C54:C56"/>
    <mergeCell ref="D54:D56"/>
    <mergeCell ref="E54:E56"/>
    <mergeCell ref="F54:F56"/>
    <mergeCell ref="B21:B23"/>
    <mergeCell ref="C36:C38"/>
    <mergeCell ref="C30:C32"/>
    <mergeCell ref="C27:C29"/>
    <mergeCell ref="C21:C23"/>
    <mergeCell ref="D21:D23"/>
    <mergeCell ref="A21:A23"/>
    <mergeCell ref="A27:A29"/>
    <mergeCell ref="A54:A56"/>
    <mergeCell ref="A36:A38"/>
    <mergeCell ref="A30:A32"/>
    <mergeCell ref="B27:B29"/>
    <mergeCell ref="B30:B32"/>
    <mergeCell ref="B36:B38"/>
    <mergeCell ref="B54:B56"/>
    <mergeCell ref="A24:A26"/>
    <mergeCell ref="A18:A20"/>
    <mergeCell ref="B18:B20"/>
    <mergeCell ref="C18:C20"/>
    <mergeCell ref="D18:D20"/>
    <mergeCell ref="E18:E20"/>
    <mergeCell ref="F18:F20"/>
    <mergeCell ref="F6:F7"/>
    <mergeCell ref="B9:B11"/>
    <mergeCell ref="C9:C11"/>
    <mergeCell ref="E9:E11"/>
    <mergeCell ref="D9:D11"/>
    <mergeCell ref="A9:A11"/>
    <mergeCell ref="F9:F11"/>
    <mergeCell ref="H6:H7"/>
    <mergeCell ref="I6:L6"/>
    <mergeCell ref="A70:E70"/>
    <mergeCell ref="A1:I4"/>
    <mergeCell ref="A5:H5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2" fitToWidth="1" horizontalDpi="600" verticalDpi="600" orientation="landscape" paperSize="9" scale="66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1" sqref="I1:I2"/>
    </sheetView>
  </sheetViews>
  <sheetFormatPr defaultColWidth="9.140625" defaultRowHeight="12.75"/>
  <cols>
    <col min="1" max="1" width="5.28125" style="13" bestFit="1" customWidth="1"/>
    <col min="2" max="2" width="5.28125" style="13" customWidth="1"/>
    <col min="3" max="3" width="52.140625" style="13" customWidth="1"/>
    <col min="4" max="4" width="17.7109375" style="13" customWidth="1"/>
    <col min="5" max="5" width="9.8515625" style="13" customWidth="1"/>
    <col min="6" max="6" width="10.00390625" style="13" customWidth="1"/>
    <col min="7" max="16384" width="9.140625" style="13" customWidth="1"/>
  </cols>
  <sheetData>
    <row r="1" ht="12.75">
      <c r="F1" s="14" t="s">
        <v>157</v>
      </c>
    </row>
    <row r="2" spans="1:6" ht="12.75">
      <c r="A2" s="13" t="s">
        <v>738</v>
      </c>
      <c r="D2" s="17"/>
      <c r="F2" s="102" t="s">
        <v>662</v>
      </c>
    </row>
    <row r="3" ht="12.75">
      <c r="D3" s="14"/>
    </row>
    <row r="4" ht="12.75">
      <c r="D4" s="14"/>
    </row>
    <row r="6" spans="1:11" ht="48" customHeight="1">
      <c r="A6" s="431" t="s">
        <v>148</v>
      </c>
      <c r="B6" s="431"/>
      <c r="C6" s="432"/>
      <c r="D6" s="432"/>
      <c r="E6" s="40"/>
      <c r="F6" s="40"/>
      <c r="G6" s="40"/>
      <c r="H6" s="63"/>
      <c r="I6" s="38"/>
      <c r="J6" s="38"/>
      <c r="K6" s="38"/>
    </row>
    <row r="7" ht="9.75" customHeight="1">
      <c r="D7" s="32" t="s">
        <v>84</v>
      </c>
    </row>
    <row r="8" spans="1:11" ht="24.75" customHeight="1">
      <c r="A8" s="433" t="s">
        <v>96</v>
      </c>
      <c r="B8" s="433" t="s">
        <v>137</v>
      </c>
      <c r="C8" s="98" t="s">
        <v>208</v>
      </c>
      <c r="D8" s="433" t="s">
        <v>138</v>
      </c>
      <c r="E8" s="399" t="s">
        <v>632</v>
      </c>
      <c r="F8" s="433" t="s">
        <v>633</v>
      </c>
      <c r="G8" s="64"/>
      <c r="H8" s="64"/>
      <c r="I8" s="64"/>
      <c r="J8" s="41"/>
      <c r="K8" s="41"/>
    </row>
    <row r="9" spans="1:11" ht="37.5" customHeight="1">
      <c r="A9" s="433"/>
      <c r="B9" s="433"/>
      <c r="C9" s="43" t="s">
        <v>139</v>
      </c>
      <c r="D9" s="433"/>
      <c r="E9" s="400"/>
      <c r="F9" s="433"/>
      <c r="G9" s="64"/>
      <c r="H9" s="64"/>
      <c r="I9" s="64"/>
      <c r="J9" s="41"/>
      <c r="K9" s="41"/>
    </row>
    <row r="10" spans="1:11" ht="11.25" customHeight="1">
      <c r="A10" s="5">
        <v>1</v>
      </c>
      <c r="B10" s="5">
        <v>2</v>
      </c>
      <c r="C10" s="5">
        <v>3</v>
      </c>
      <c r="D10" s="5">
        <v>4</v>
      </c>
      <c r="E10" s="5">
        <v>4</v>
      </c>
      <c r="F10" s="5">
        <v>4</v>
      </c>
      <c r="G10" s="64"/>
      <c r="H10" s="64"/>
      <c r="I10" s="64"/>
      <c r="J10" s="41"/>
      <c r="K10" s="41"/>
    </row>
    <row r="11" spans="1:11" ht="19.5" customHeight="1">
      <c r="A11" s="45" t="s">
        <v>140</v>
      </c>
      <c r="B11" s="45" t="s">
        <v>141</v>
      </c>
      <c r="C11" s="65" t="s">
        <v>142</v>
      </c>
      <c r="D11" s="141">
        <v>35000</v>
      </c>
      <c r="E11" s="141">
        <v>0</v>
      </c>
      <c r="F11" s="141">
        <v>0</v>
      </c>
      <c r="G11" s="64"/>
      <c r="H11" s="64"/>
      <c r="I11" s="64"/>
      <c r="J11" s="41"/>
      <c r="K11" s="41"/>
    </row>
    <row r="12" spans="1:11" ht="19.5" customHeight="1">
      <c r="A12" s="45" t="s">
        <v>143</v>
      </c>
      <c r="B12" s="45" t="s">
        <v>141</v>
      </c>
      <c r="C12" s="65" t="s">
        <v>144</v>
      </c>
      <c r="D12" s="68">
        <f>SUM(D13:D14)</f>
        <v>8400</v>
      </c>
      <c r="E12" s="68">
        <f>SUM(E13:E14)</f>
        <v>0</v>
      </c>
      <c r="F12" s="68">
        <f>SUM(F13:F14)</f>
        <v>0</v>
      </c>
      <c r="G12" s="64"/>
      <c r="H12" s="64"/>
      <c r="I12" s="64"/>
      <c r="J12" s="41"/>
      <c r="K12" s="41"/>
    </row>
    <row r="13" spans="1:11" ht="19.5" customHeight="1">
      <c r="A13" s="33" t="s">
        <v>100</v>
      </c>
      <c r="B13" s="70" t="s">
        <v>150</v>
      </c>
      <c r="C13" s="66" t="s">
        <v>151</v>
      </c>
      <c r="D13" s="69">
        <v>8000</v>
      </c>
      <c r="E13" s="69">
        <v>0</v>
      </c>
      <c r="F13" s="69">
        <v>0</v>
      </c>
      <c r="G13" s="64"/>
      <c r="H13" s="64"/>
      <c r="I13" s="64"/>
      <c r="J13" s="41"/>
      <c r="K13" s="41"/>
    </row>
    <row r="14" spans="1:11" ht="19.5" customHeight="1">
      <c r="A14" s="33" t="s">
        <v>103</v>
      </c>
      <c r="B14" s="70" t="s">
        <v>149</v>
      </c>
      <c r="C14" s="66" t="s">
        <v>152</v>
      </c>
      <c r="D14" s="69">
        <v>400</v>
      </c>
      <c r="E14" s="69">
        <v>0</v>
      </c>
      <c r="F14" s="69">
        <v>0</v>
      </c>
      <c r="G14" s="64"/>
      <c r="H14" s="64"/>
      <c r="I14" s="64"/>
      <c r="J14" s="41"/>
      <c r="K14" s="41"/>
    </row>
    <row r="15" spans="1:11" ht="19.5" customHeight="1">
      <c r="A15" s="45" t="s">
        <v>145</v>
      </c>
      <c r="B15" s="45" t="s">
        <v>141</v>
      </c>
      <c r="C15" s="65" t="s">
        <v>53</v>
      </c>
      <c r="D15" s="68">
        <f>SUM(D16:D18)</f>
        <v>43400</v>
      </c>
      <c r="E15" s="68">
        <f>SUM(E16:E18)</f>
        <v>0</v>
      </c>
      <c r="F15" s="68">
        <f>SUM(F16:F18)</f>
        <v>0</v>
      </c>
      <c r="G15" s="64"/>
      <c r="H15" s="64"/>
      <c r="I15" s="64"/>
      <c r="J15" s="41"/>
      <c r="K15" s="41"/>
    </row>
    <row r="16" spans="1:11" ht="19.5" customHeight="1">
      <c r="A16" s="33" t="s">
        <v>100</v>
      </c>
      <c r="B16" s="33">
        <v>4210</v>
      </c>
      <c r="C16" s="67" t="s">
        <v>153</v>
      </c>
      <c r="D16" s="69">
        <v>3100</v>
      </c>
      <c r="E16" s="69">
        <v>0</v>
      </c>
      <c r="F16" s="69">
        <v>0</v>
      </c>
      <c r="G16" s="64"/>
      <c r="H16" s="64"/>
      <c r="I16" s="64"/>
      <c r="J16" s="41"/>
      <c r="K16" s="41"/>
    </row>
    <row r="17" spans="1:11" ht="15" customHeight="1">
      <c r="A17" s="33" t="s">
        <v>103</v>
      </c>
      <c r="B17" s="33">
        <v>4300</v>
      </c>
      <c r="C17" s="67" t="s">
        <v>154</v>
      </c>
      <c r="D17" s="69">
        <v>4300</v>
      </c>
      <c r="E17" s="69">
        <v>0</v>
      </c>
      <c r="F17" s="69">
        <v>0</v>
      </c>
      <c r="G17" s="64"/>
      <c r="H17" s="64"/>
      <c r="I17" s="64"/>
      <c r="J17" s="41"/>
      <c r="K17" s="41"/>
    </row>
    <row r="18" spans="1:11" ht="38.25">
      <c r="A18" s="33" t="s">
        <v>105</v>
      </c>
      <c r="B18" s="33">
        <v>6260</v>
      </c>
      <c r="C18" s="67" t="s">
        <v>155</v>
      </c>
      <c r="D18" s="69">
        <v>36000</v>
      </c>
      <c r="E18" s="69">
        <v>0</v>
      </c>
      <c r="F18" s="69">
        <v>0</v>
      </c>
      <c r="G18" s="64"/>
      <c r="H18" s="64"/>
      <c r="I18" s="64"/>
      <c r="J18" s="41"/>
      <c r="K18" s="41"/>
    </row>
    <row r="19" spans="1:11" ht="19.5" customHeight="1">
      <c r="A19" s="45" t="s">
        <v>146</v>
      </c>
      <c r="B19" s="45" t="s">
        <v>141</v>
      </c>
      <c r="C19" s="65" t="s">
        <v>147</v>
      </c>
      <c r="D19" s="68">
        <f>D11+D12-D15</f>
        <v>0</v>
      </c>
      <c r="E19" s="68">
        <f>E11+E12-E15</f>
        <v>0</v>
      </c>
      <c r="F19" s="68">
        <f>F11+F12-F15</f>
        <v>0</v>
      </c>
      <c r="G19" s="64"/>
      <c r="H19" s="64"/>
      <c r="I19" s="64"/>
      <c r="J19" s="41"/>
      <c r="K19" s="41"/>
    </row>
    <row r="20" spans="1:11" ht="15.75">
      <c r="A20" s="64"/>
      <c r="B20" s="64"/>
      <c r="C20" s="64"/>
      <c r="D20" s="64"/>
      <c r="E20" s="64"/>
      <c r="F20" s="64"/>
      <c r="G20" s="64"/>
      <c r="H20" s="64"/>
      <c r="I20" s="64"/>
      <c r="J20" s="41"/>
      <c r="K20" s="41"/>
    </row>
    <row r="21" spans="1:11" ht="15.75">
      <c r="A21" s="64"/>
      <c r="B21" s="64"/>
      <c r="C21" s="64"/>
      <c r="D21" s="64"/>
      <c r="E21" s="64"/>
      <c r="F21" s="64"/>
      <c r="G21" s="64"/>
      <c r="H21" s="64"/>
      <c r="I21" s="64"/>
      <c r="J21" s="41"/>
      <c r="K21" s="41"/>
    </row>
    <row r="22" spans="1:11" ht="15.75">
      <c r="A22" s="64"/>
      <c r="B22" s="64"/>
      <c r="C22" s="64"/>
      <c r="D22" s="64"/>
      <c r="E22" s="64"/>
      <c r="F22" s="64"/>
      <c r="G22" s="64"/>
      <c r="H22" s="64"/>
      <c r="I22" s="64"/>
      <c r="J22" s="41"/>
      <c r="K22" s="41"/>
    </row>
    <row r="23" spans="1:11" ht="15.75">
      <c r="A23" s="64"/>
      <c r="B23" s="64"/>
      <c r="C23" s="64"/>
      <c r="D23" s="64"/>
      <c r="E23" s="64"/>
      <c r="F23" s="64"/>
      <c r="G23" s="64"/>
      <c r="H23" s="64"/>
      <c r="I23" s="64"/>
      <c r="J23" s="41"/>
      <c r="K23" s="41"/>
    </row>
    <row r="24" spans="1:11" ht="15.75">
      <c r="A24" s="64"/>
      <c r="B24" s="64"/>
      <c r="C24" s="64"/>
      <c r="D24" s="64"/>
      <c r="E24" s="64"/>
      <c r="F24" s="64"/>
      <c r="G24" s="64"/>
      <c r="H24" s="64"/>
      <c r="I24" s="64"/>
      <c r="J24" s="41"/>
      <c r="K24" s="41"/>
    </row>
    <row r="25" spans="1:11" ht="15.75">
      <c r="A25" s="64"/>
      <c r="B25" s="64"/>
      <c r="C25" s="64"/>
      <c r="D25" s="64"/>
      <c r="E25" s="64"/>
      <c r="F25" s="64"/>
      <c r="G25" s="64"/>
      <c r="H25" s="64"/>
      <c r="I25" s="64"/>
      <c r="J25" s="41"/>
      <c r="K25" s="41"/>
    </row>
    <row r="26" spans="1:11" ht="15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</sheetData>
  <sheetProtection/>
  <mergeCells count="6">
    <mergeCell ref="A6:D6"/>
    <mergeCell ref="A8:A9"/>
    <mergeCell ref="B8:B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Guzik</dc:creator>
  <cp:keywords/>
  <dc:description/>
  <cp:lastModifiedBy>Mirekg</cp:lastModifiedBy>
  <cp:lastPrinted>2011-03-15T04:43:12Z</cp:lastPrinted>
  <dcterms:created xsi:type="dcterms:W3CDTF">2009-11-12T02:16:43Z</dcterms:created>
  <dcterms:modified xsi:type="dcterms:W3CDTF">2011-05-13T08:29:57Z</dcterms:modified>
  <cp:category/>
  <cp:version/>
  <cp:contentType/>
  <cp:contentStatus/>
</cp:coreProperties>
</file>