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85" yWindow="240" windowWidth="10635" windowHeight="10290" tabRatio="747" activeTab="9"/>
  </bookViews>
  <sheets>
    <sheet name="1 DOCHODY" sheetId="1" r:id="rId1"/>
    <sheet name="2 wydatki" sheetId="2" r:id="rId2"/>
    <sheet name="3 Przychody i rozchody" sheetId="3" r:id="rId3"/>
    <sheet name="4 zlecone" sheetId="4" r:id="rId4"/>
    <sheet name="5 porozum" sheetId="5" r:id="rId5"/>
    <sheet name="6  sołecki" sheetId="6" r:id="rId6"/>
    <sheet name="7 WPI" sheetId="7" r:id="rId7"/>
    <sheet name="8 Wydatki UE" sheetId="8" r:id="rId8"/>
    <sheet name="Zał 10" sheetId="9" r:id="rId9"/>
    <sheet name="Zał 11" sheetId="10" r:id="rId10"/>
  </sheets>
  <externalReferences>
    <externalReference r:id="rId13"/>
  </externalReferences>
  <definedNames>
    <definedName name="Dział">'[1]7-99'!$A:$A</definedName>
    <definedName name="Nazwa">'[1]7-99'!$D:$D</definedName>
    <definedName name="_xlnm.Print_Area" localSheetId="0">'1 DOCHODY'!$A$1:$G$117</definedName>
    <definedName name="_xlnm.Print_Area" localSheetId="1">'2 wydatki'!$A$1:$Q$194</definedName>
    <definedName name="_xlnm.Print_Area" localSheetId="3">'4 zlecone'!$A$1:$K$32</definedName>
    <definedName name="_xlnm.Print_Area" localSheetId="4">'5 porozum'!$A$1:$K$18</definedName>
    <definedName name="_xlnm.Print_Area" localSheetId="5">'6  sołecki'!$A$1:$G$50</definedName>
    <definedName name="_xlnm.Print_Area" localSheetId="9">'Zał 11'!$A$1:$G$82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<sst xmlns="http://schemas.openxmlformats.org/spreadsheetml/2006/main" count="1058" uniqueCount="675">
  <si>
    <t>Aktualizacja spisu wyborców</t>
  </si>
  <si>
    <t>Pozostałe dochody</t>
  </si>
  <si>
    <t>Opłata produktowa</t>
  </si>
  <si>
    <t>Utrzymanie zieleni w miastach i gminach</t>
  </si>
  <si>
    <t>Opłata od posiadania psów</t>
  </si>
  <si>
    <t>85395</t>
  </si>
  <si>
    <t>010</t>
  </si>
  <si>
    <t>01008</t>
  </si>
  <si>
    <t>01095</t>
  </si>
  <si>
    <t>Rolnictwo i łowiectwo</t>
  </si>
  <si>
    <t>Transport i łączność</t>
  </si>
  <si>
    <t>600</t>
  </si>
  <si>
    <t>900</t>
  </si>
  <si>
    <t>710</t>
  </si>
  <si>
    <t>Działalność usługowa</t>
  </si>
  <si>
    <t>700</t>
  </si>
  <si>
    <t>70005</t>
  </si>
  <si>
    <t>630</t>
  </si>
  <si>
    <t>Administracja publiczna</t>
  </si>
  <si>
    <t>750</t>
  </si>
  <si>
    <t>75023</t>
  </si>
  <si>
    <t>754</t>
  </si>
  <si>
    <t>Bezpieczeństwo publiczne i ochrona przeciwpożarowa</t>
  </si>
  <si>
    <t>757</t>
  </si>
  <si>
    <t>Obsługa długu publicznego</t>
  </si>
  <si>
    <t>758</t>
  </si>
  <si>
    <t>801</t>
  </si>
  <si>
    <t>851</t>
  </si>
  <si>
    <t>Usługi opiekuńcze i specjalistyczne usługi opiekuńcze</t>
  </si>
  <si>
    <t>854</t>
  </si>
  <si>
    <t>Świetlice szkolne</t>
  </si>
  <si>
    <t>Kultura i ochrona dziedzictwa narodowego</t>
  </si>
  <si>
    <t>921</t>
  </si>
  <si>
    <t>926</t>
  </si>
  <si>
    <t>Obiekty sportowe</t>
  </si>
  <si>
    <t>751</t>
  </si>
  <si>
    <t>Plany zagospodarowania przestrzennego</t>
  </si>
  <si>
    <t>Pozostałe odsetki</t>
  </si>
  <si>
    <t>Odsetki od nieterminowych wpłat z tytułu podatków i opłat</t>
  </si>
  <si>
    <t>Ośrodki pomocy społecznej</t>
  </si>
  <si>
    <t>Gospodarka komunalna i ochrona środowiska</t>
  </si>
  <si>
    <t>Podatek dochodowy od osób fizycznych</t>
  </si>
  <si>
    <t>Podatek dochodowy od osób prawnych</t>
  </si>
  <si>
    <t>Wpływy z opłaty targowej</t>
  </si>
  <si>
    <t>Nazwa</t>
  </si>
  <si>
    <t>90001</t>
  </si>
  <si>
    <t>Gospodarka ściekowa i ochrona wód</t>
  </si>
  <si>
    <t>Dział</t>
  </si>
  <si>
    <t>Oświata i wychowanie</t>
  </si>
  <si>
    <t>Ochrona zdrowia</t>
  </si>
  <si>
    <t>Kultura fizyczna i sport</t>
  </si>
  <si>
    <t>Rozdział</t>
  </si>
  <si>
    <t>Wydatki bieżące</t>
  </si>
  <si>
    <t>§</t>
  </si>
  <si>
    <t>Pozostała działalność</t>
  </si>
  <si>
    <t>Drogi publiczne gminne</t>
  </si>
  <si>
    <t>Gospodarka gruntami i nieruchomościami</t>
  </si>
  <si>
    <t>Szkoły podstawowe</t>
  </si>
  <si>
    <t>Gimnazja</t>
  </si>
  <si>
    <t>Biblioteki</t>
  </si>
  <si>
    <t>Lecznictwo ambulatoryjne</t>
  </si>
  <si>
    <t>Przeciwdziałanie alkoholizmowi</t>
  </si>
  <si>
    <t>Dodatki mieszkaniowe</t>
  </si>
  <si>
    <t>Instytucje kultury fizycznej</t>
  </si>
  <si>
    <t>Różne rozliczenia</t>
  </si>
  <si>
    <t>Cmentarze</t>
  </si>
  <si>
    <t>01030</t>
  </si>
  <si>
    <t>Izby rolnicze</t>
  </si>
  <si>
    <t>Dowożenie uczniów do szkół</t>
  </si>
  <si>
    <t>Wpływy z opłaty skarbowej</t>
  </si>
  <si>
    <t>Wykonanie</t>
  </si>
  <si>
    <t>Turystyka</t>
  </si>
  <si>
    <t>0970</t>
  </si>
  <si>
    <t>0830</t>
  </si>
  <si>
    <t>0470</t>
  </si>
  <si>
    <t>0750</t>
  </si>
  <si>
    <t>0760</t>
  </si>
  <si>
    <t>0920</t>
  </si>
  <si>
    <t>0690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</si>
  <si>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</si>
  <si>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</si>
  <si>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</si>
  <si>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</si>
  <si>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</si>
  <si>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</si>
  <si>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</si>
  <si>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</si>
  <si>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</si>
  <si>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</si>
  <si>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</si>
  <si>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</si>
  <si>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0010</t>
  </si>
  <si>
    <t>0020</t>
  </si>
  <si>
    <t>0400</t>
  </si>
  <si>
    <t>85219</t>
  </si>
  <si>
    <t>852</t>
  </si>
  <si>
    <t>Pomoc społeczna</t>
  </si>
  <si>
    <t>0770</t>
  </si>
  <si>
    <t>Dostarczanie wody</t>
  </si>
  <si>
    <t>w %</t>
  </si>
  <si>
    <t>Lokalny transport zbiorowy</t>
  </si>
  <si>
    <t>0870</t>
  </si>
  <si>
    <t>756</t>
  </si>
  <si>
    <t>Pobór podatków, opłat i niepodatkowych należności budżetowych</t>
  </si>
  <si>
    <t>Infrastruktura portowa</t>
  </si>
  <si>
    <t>Melioracje wodne</t>
  </si>
  <si>
    <t>85415</t>
  </si>
  <si>
    <t>Pomoc materialna dla uczniów</t>
  </si>
  <si>
    <t>Edukacyjna opieka wychowawcza</t>
  </si>
  <si>
    <t>Domy pomocy społecznej</t>
  </si>
  <si>
    <t>Zasiłki i pomoc w naturze oraz składki na ubezpieczenia emerytalne i rentowe</t>
  </si>
  <si>
    <t>Wytwarzanie i zaopatrywanie w energię elektryczną, gaz i wodę</t>
  </si>
  <si>
    <t>Oczyszczanie miast i wsi</t>
  </si>
  <si>
    <t>Podatek od czynności cywilnoprawnych</t>
  </si>
  <si>
    <t>050</t>
  </si>
  <si>
    <t>05009</t>
  </si>
  <si>
    <t>Rybołówstwo i rybactwo</t>
  </si>
  <si>
    <t>Zwalczanie narkomanii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</si>
  <si>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</si>
  <si>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</si>
  <si>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</si>
  <si>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</si>
  <si>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</si>
  <si>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</si>
  <si>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</si>
  <si>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</si>
  <si>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</si>
  <si>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Lp.</t>
  </si>
  <si>
    <t>w tym:</t>
  </si>
  <si>
    <t>Plan</t>
  </si>
  <si>
    <t xml:space="preserve">Podatek rolny </t>
  </si>
  <si>
    <t>Podatek od nieruchomości</t>
  </si>
  <si>
    <t>Podatek od środków transportowych</t>
  </si>
  <si>
    <t>Podatek od spadków i darowizn</t>
  </si>
  <si>
    <t>0490</t>
  </si>
  <si>
    <t>85295</t>
  </si>
  <si>
    <t>Drogi publiczne wojewódzkie</t>
  </si>
  <si>
    <t>Pozostałe zadania w zakresie polityki społecznej</t>
  </si>
  <si>
    <t>Dotacje</t>
  </si>
  <si>
    <t>Załącznik nr 1</t>
  </si>
  <si>
    <t>do informacji za I półrocze</t>
  </si>
  <si>
    <t>Żródło dochodów</t>
  </si>
  <si>
    <t>Akcyza za paliwo dotacja z BP</t>
  </si>
  <si>
    <t>Dzierżawa portu rybackiego</t>
  </si>
  <si>
    <t>Środki z UE na port rybacki</t>
  </si>
  <si>
    <t>Środki wkład SP na port rybacki</t>
  </si>
  <si>
    <t>60041</t>
  </si>
  <si>
    <t>Opłaty portowe</t>
  </si>
  <si>
    <t>Dzierżawa portu</t>
  </si>
  <si>
    <t>Dzierżawa portu odsetki</t>
  </si>
  <si>
    <t>Wpływy z wieczystego uzytkowania</t>
  </si>
  <si>
    <t>Dzierżawy gruntów gminnych i nieruchomości</t>
  </si>
  <si>
    <t>Wpływy z przekształcenia wieczystego uzytkowania</t>
  </si>
  <si>
    <t>Sprzedaż gruntów i nieruchomości</t>
  </si>
  <si>
    <t>Sprzedaż drobnego wyposazenia i zbednego majatku</t>
  </si>
  <si>
    <t>Wpływy z pozostałych dochodów</t>
  </si>
  <si>
    <t>71035</t>
  </si>
  <si>
    <t>Dzierżawa miejsc na cmentarzu</t>
  </si>
  <si>
    <t>Wpływy z usług</t>
  </si>
  <si>
    <t>2010</t>
  </si>
  <si>
    <t>Dotacja na zadania Urżedu Wojewódzkiego</t>
  </si>
  <si>
    <t>2360</t>
  </si>
  <si>
    <t>Prowizja od wydawanych dowodów</t>
  </si>
  <si>
    <t>Wplywy z róznych opłat</t>
  </si>
  <si>
    <t>Wpływy z róznych dochodów</t>
  </si>
  <si>
    <t>75101</t>
  </si>
  <si>
    <t>0960</t>
  </si>
  <si>
    <t>Darowizny na strażaków</t>
  </si>
  <si>
    <t>Podatek od działalności</t>
  </si>
  <si>
    <t>Podatek leśny</t>
  </si>
  <si>
    <t>Wpływ za zezwolenia na sprzedaż alkoholu</t>
  </si>
  <si>
    <t>Opłata za zajęcie pasa ruchu drogowego</t>
  </si>
  <si>
    <t>Subwencja oświatowa</t>
  </si>
  <si>
    <t>Odsetki od lokat</t>
  </si>
  <si>
    <t>Subwencja równoważąca</t>
  </si>
  <si>
    <t>Odsetki od rachunków szkół</t>
  </si>
  <si>
    <t>Dzierżawa zoz-ów</t>
  </si>
  <si>
    <t>Dzierżawa zoz-ów odsetki</t>
  </si>
  <si>
    <t>Dotacja na zaliczki alimentacyjne i świadczebnia rodzinne</t>
  </si>
  <si>
    <t>85212</t>
  </si>
  <si>
    <t>Prowizja od sciągniętych alimentów</t>
  </si>
  <si>
    <t>85213</t>
  </si>
  <si>
    <t>Dotacja na zasiłki własne</t>
  </si>
  <si>
    <t>Dotacja na funkcjonowanie OPS-u</t>
  </si>
  <si>
    <t>Wpływy z usług opiekuńczych</t>
  </si>
  <si>
    <t>Odsetki od zapłaconych po terminie usług opiekuńczych</t>
  </si>
  <si>
    <t>Dotacja na dożywianie</t>
  </si>
  <si>
    <t>Dofinasowanie aktywizacji zawodowej</t>
  </si>
  <si>
    <t>Dofinasowanie zajęc pozalekcyjnych</t>
  </si>
  <si>
    <t>Stypednia dla uczniów</t>
  </si>
  <si>
    <t>Dzierżawa sieci</t>
  </si>
  <si>
    <t>Odsetki od  przyłączy</t>
  </si>
  <si>
    <t>Dotacja z WFOŚiGW na zwalczanie azbestu</t>
  </si>
  <si>
    <t>85121</t>
  </si>
  <si>
    <t>75831</t>
  </si>
  <si>
    <t>75412</t>
  </si>
  <si>
    <t>90002</t>
  </si>
  <si>
    <t>Gospodarka odpadami</t>
  </si>
  <si>
    <t>0570</t>
  </si>
  <si>
    <t>Oświetlenie ulic, placów i dróg</t>
  </si>
  <si>
    <t>w złotych</t>
  </si>
  <si>
    <t>Nazwa zadania</t>
  </si>
  <si>
    <t>Program wspierania rolnictwa</t>
  </si>
  <si>
    <t>63003</t>
  </si>
  <si>
    <t>80113</t>
  </si>
  <si>
    <t>Dowozy szkolne osób niepełnosprawnych</t>
  </si>
  <si>
    <t>92604</t>
  </si>
  <si>
    <t>85202</t>
  </si>
  <si>
    <t>Partycypacja w kosztach Schroniska dla bezdomnych</t>
  </si>
  <si>
    <t>75095</t>
  </si>
  <si>
    <t>Gminny Ośrodek Kultury w Stepnicy,  w tym:</t>
  </si>
  <si>
    <t>- budowa estrady plenerowej</t>
  </si>
  <si>
    <t>- modernizacja budynku "Harcówki"</t>
  </si>
  <si>
    <t xml:space="preserve">Dotacje podmiotowe udzielone z budżetu Gminy Stepnica </t>
  </si>
  <si>
    <t>Dochody budżetu gminy na 2010 r.</t>
  </si>
  <si>
    <t>Plan na 30.06.2010 r.</t>
  </si>
  <si>
    <t>Udostępnianie przystanków</t>
  </si>
  <si>
    <t>Usługa sprzątania ulic wojewódzkich</t>
  </si>
  <si>
    <t>Usługi drogowe</t>
  </si>
  <si>
    <t>0580</t>
  </si>
  <si>
    <t>Kara za nietrminowe wykonanie prac</t>
  </si>
  <si>
    <t>Projekt wykluczenie cyfrowe</t>
  </si>
  <si>
    <t>Wybory do Prezydenta RP</t>
  </si>
  <si>
    <t>75107</t>
  </si>
  <si>
    <t>Usługi świadczone przez OSP</t>
  </si>
  <si>
    <t>75416</t>
  </si>
  <si>
    <t>Mandaty straży gminnej</t>
  </si>
  <si>
    <t>Opłaty za przedszkole</t>
  </si>
  <si>
    <t>Dotacja na składki ubezpieczeniowe zlecone</t>
  </si>
  <si>
    <t>Dotacja na składki ubezpieczeniowe własne</t>
  </si>
  <si>
    <t>Dotacja na zasiłki stałe</t>
  </si>
  <si>
    <t>Dofinansowanie projektów z WUP Szczecin</t>
  </si>
  <si>
    <t>Dofinansowanie projektów z WUP Szcecin</t>
  </si>
  <si>
    <t>GFOŚiGW z roku 2009</t>
  </si>
  <si>
    <t>Opłaty dawnego GFOŚiGW</t>
  </si>
  <si>
    <t>Odsetki od opłat GFOSiGW</t>
  </si>
  <si>
    <t>Środki od GOK za Harcówkę i Estradę</t>
  </si>
  <si>
    <t>Pozostałe dochody zwrócone koszty egzekucji</t>
  </si>
  <si>
    <t>Dotacja na schetynówkę</t>
  </si>
  <si>
    <t>Dotacja na drogi z funduszu gruntów rolnych</t>
  </si>
  <si>
    <t>Środki z UE na Kanał Młyński i Gąsierzyno</t>
  </si>
  <si>
    <t>Środki z UE na wykluczenie cyfrowe</t>
  </si>
  <si>
    <t>Dotacja z WFOŚiGW na zakup samochodu</t>
  </si>
  <si>
    <t>Środki z UE na zakup samochodu</t>
  </si>
  <si>
    <t>Dotacja na plac zabaw "Radosna szkoła"</t>
  </si>
  <si>
    <t>Wpływy za przyłącza kanalizacyjne</t>
  </si>
  <si>
    <t>Środki z uE na kanalizację wsi Budzień i Widzieńsko</t>
  </si>
  <si>
    <t>Środki z UE na boiska</t>
  </si>
  <si>
    <t>85214</t>
  </si>
  <si>
    <t>Zasiłki stałe</t>
  </si>
  <si>
    <t>60016</t>
  </si>
  <si>
    <t>Dpchody bieżące ogółem:</t>
  </si>
  <si>
    <t>Dochody razem:</t>
  </si>
  <si>
    <t>Wykonanie 30.06.2010r.</t>
  </si>
  <si>
    <t>Wykonanie w %</t>
  </si>
  <si>
    <t>Dpchody majątkowe ogółem:</t>
  </si>
  <si>
    <t>Drogi publiczne powiatowe</t>
  </si>
  <si>
    <t>Komendy powiatowe Policji</t>
  </si>
  <si>
    <t>Straż Miejska</t>
  </si>
  <si>
    <t>Część równoważąca subwencji ogólnej dla gmin</t>
  </si>
  <si>
    <t>Szkolnictwo wyższe</t>
  </si>
  <si>
    <t>Ochrona zabytków i opieka nad zabytkami</t>
  </si>
  <si>
    <t>Zadania w zakresie kultury fizycznej i sportu</t>
  </si>
  <si>
    <t>85216</t>
  </si>
  <si>
    <t>Opłaty za duplikaty legitymacji</t>
  </si>
  <si>
    <t>Dzierżawa pomieszceń szkolnych</t>
  </si>
  <si>
    <t>Pozostałe dochody szkoły</t>
  </si>
  <si>
    <t>80110</t>
  </si>
  <si>
    <t>Darowizny Gimnazjum sztandar</t>
  </si>
  <si>
    <t>Pozostałe dochody ściaganei alimentów</t>
  </si>
  <si>
    <t>Odsetki OPS</t>
  </si>
  <si>
    <t>Usługi autobus szkolny</t>
  </si>
  <si>
    <t>Rybołówstwo i przetwórstwo ryb</t>
  </si>
  <si>
    <t>Wybory Prezydenta Rzeczypospolitej Polskiej</t>
  </si>
  <si>
    <t>Świadczenia rodzinne, świadczenia z funduszu alimentacyjneego oraz składki na ubezpieczenia emerytalne i rentowe z ubezpieczenia społecznego</t>
  </si>
  <si>
    <t>Realizacja</t>
  </si>
  <si>
    <t>w zł</t>
  </si>
  <si>
    <t>Modernizacja portu rybackiego II etap</t>
  </si>
  <si>
    <t>Wodociag Tęczowa</t>
  </si>
  <si>
    <t>Wodociąg Mokra-Ludwiczaka</t>
  </si>
  <si>
    <t>Budzień ujęcie wody</t>
  </si>
  <si>
    <t>Modernizacja sieci wodociągowej Gminy Stepnica</t>
  </si>
  <si>
    <t>listopada 2010</t>
  </si>
  <si>
    <t>czerwiec 2010</t>
  </si>
  <si>
    <t>wrzesień 2011</t>
  </si>
  <si>
    <t>grudzień 2011</t>
  </si>
  <si>
    <t>Modernizacja chodników w ulicy Krzywoustego - ZDW</t>
  </si>
  <si>
    <t>wrzesień 2010</t>
  </si>
  <si>
    <t>Budowa drogi w Czarnocinie</t>
  </si>
  <si>
    <t>Remont chodników w Miłowie</t>
  </si>
  <si>
    <t>Budowa ulicy Bocznej w Żarnowie</t>
  </si>
  <si>
    <t>Budowa ulicy Polnej w Bogusławiu</t>
  </si>
  <si>
    <t>Modernizacja ulicy Os. 40-lecia PRL</t>
  </si>
  <si>
    <t>Budowa ulicy Krótkiej i Parkowej w Stepnicy</t>
  </si>
  <si>
    <t>Zakup wiat przystankowych</t>
  </si>
  <si>
    <t>Budowa ulicy do Przystani w Kopicach</t>
  </si>
  <si>
    <t>listopad 2010</t>
  </si>
  <si>
    <t>Budowa ulicy Leśnej w Racimierzu</t>
  </si>
  <si>
    <t>czerwiec 2011</t>
  </si>
  <si>
    <t>Modernizacja Portu handlowego w Stepnicy</t>
  </si>
  <si>
    <t>Budowa przystani jachtowej w Gąsierzynie</t>
  </si>
  <si>
    <t>Budowa ulicy Mokra i Ludwiczaka w Stepnicy</t>
  </si>
  <si>
    <t>Budowa ulicy Podgórnej w Żarnowie</t>
  </si>
  <si>
    <t>Budowa wiat przystankowych na scieżce rowerowej</t>
  </si>
  <si>
    <t>Wykup działki od T&amp;T</t>
  </si>
  <si>
    <t>Wykup działek od PKP</t>
  </si>
  <si>
    <t>Mieszkania socjalne po kuchni szkolnej</t>
  </si>
  <si>
    <t>styczeń 2010</t>
  </si>
  <si>
    <t>Budowa 2 bloków mieszanych w Łące</t>
  </si>
  <si>
    <t>lipiec 2010</t>
  </si>
  <si>
    <t>Ogrodzenie cmentarza w Żarnowie</t>
  </si>
  <si>
    <t>Zakup i montaż zdrojów ulicznych na cmentarzach</t>
  </si>
  <si>
    <t>Rozbudowa cmentarza w Stepnicy</t>
  </si>
  <si>
    <t>październik 2010</t>
  </si>
  <si>
    <t>marzec 2010</t>
  </si>
  <si>
    <t>Zakup regałow archiwalnych do ewidencji gruntów</t>
  </si>
  <si>
    <t>luty 2010</t>
  </si>
  <si>
    <t>Zakup kserokopiarki  kolorowej</t>
  </si>
  <si>
    <t>Zakup programu NORMA do kosztorysowania</t>
  </si>
  <si>
    <t>kwiecień 2010</t>
  </si>
  <si>
    <t>Budowa 2 garaży w UG</t>
  </si>
  <si>
    <t>Wymiana instalacji komputerowej i telefonicznej w UG</t>
  </si>
  <si>
    <t>Podajzd dla osób niepełnosprawnych</t>
  </si>
  <si>
    <t>czerwiec 2013</t>
  </si>
  <si>
    <t>Monitoring gminy</t>
  </si>
  <si>
    <t>Wymian systemu grzewczego szkoły - I etap kotłownia</t>
  </si>
  <si>
    <t>Plac zabaw radosna szkoła</t>
  </si>
  <si>
    <t>Zakup odkurzacza wodnego</t>
  </si>
  <si>
    <t>maj 2010</t>
  </si>
  <si>
    <t>sierpień 2010</t>
  </si>
  <si>
    <t>Zakupy inwestycyjne szkoly Stepnica</t>
  </si>
  <si>
    <t>Zakupy inwestycyjne szkoły Racimierz</t>
  </si>
  <si>
    <t>Termomodernizacja szkoły - przedszkole</t>
  </si>
  <si>
    <t>Zakup wyposażenia dla Gimnazjum projekt</t>
  </si>
  <si>
    <t>Zakupy inestycyjne Gimnazjum</t>
  </si>
  <si>
    <t>Termomodernizacja budynku ZOZ</t>
  </si>
  <si>
    <t>Budowa Kanalziacji wsi Budzień</t>
  </si>
  <si>
    <t>Budowa kanalziacji wsi Widzieńsko</t>
  </si>
  <si>
    <t>Budowa kanalizacji Bogusławie suszarnia</t>
  </si>
  <si>
    <t>Budowa kanalziacji ulic Mokra-Ludwiczaka</t>
  </si>
  <si>
    <t>Budowa kanalziacji w Kopicach droga do przystani</t>
  </si>
  <si>
    <t>Zakup urządzeń do pielęgniacji zieleni gminnej</t>
  </si>
  <si>
    <t>Budowa 12 placów zabaw na terenie gminy Stepnica</t>
  </si>
  <si>
    <t>Dotacja GOK - Budowa estrady i harcówki</t>
  </si>
  <si>
    <t>Budowa 4 boisk wiejskich</t>
  </si>
  <si>
    <t>Budowa domu kultury w Żarnowie</t>
  </si>
  <si>
    <t>Budowa hali widowisko-sportowej w Stepnicy</t>
  </si>
  <si>
    <t>Budowa skatparku w parku w Stepnicy</t>
  </si>
  <si>
    <t>Modernizacja boiska w parku w Stepnicy</t>
  </si>
  <si>
    <t>Modernizacja plaży i kanału młyńskiego w Stepnicy</t>
  </si>
  <si>
    <t>Zakup samochodu bojowego dla OSP Stepnica</t>
  </si>
  <si>
    <t>Zakup samochodu bojowego dla OSP Żarnowo</t>
  </si>
  <si>
    <t>Dotacja dla województwa na Akademię Sztuki</t>
  </si>
  <si>
    <t>Razem:</t>
  </si>
  <si>
    <t>Nazwa zadania inwestycyjnego</t>
  </si>
  <si>
    <t>Termin</t>
  </si>
  <si>
    <t>zakończenia</t>
  </si>
  <si>
    <t>75075</t>
  </si>
  <si>
    <t>92120</t>
  </si>
  <si>
    <t>Prace remontowe i konserwatorskie obiektów zabytkowych</t>
  </si>
  <si>
    <t>92605</t>
  </si>
  <si>
    <t>Załącznik Nr 3</t>
  </si>
  <si>
    <t>853</t>
  </si>
  <si>
    <t>92109</t>
  </si>
  <si>
    <t>92116</t>
  </si>
  <si>
    <t>Załącznik Nr 4</t>
  </si>
  <si>
    <t>Wykonanie w zł</t>
  </si>
  <si>
    <t>Limity wydatków GminyStepnica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 realizowane w latach 2010 i kolejnych</t>
  </si>
  <si>
    <t>Rozdz.</t>
  </si>
  <si>
    <t>Nazwa programu</t>
  </si>
  <si>
    <t>Nazwa projektu</t>
  </si>
  <si>
    <t>Lata realizacji projektu</t>
  </si>
  <si>
    <t>Wartość całkowita projektu
(w zł)</t>
  </si>
  <si>
    <t>Planowane płatności w latach w ramach projektu</t>
  </si>
  <si>
    <t>2010 r.</t>
  </si>
  <si>
    <t>2011 r.</t>
  </si>
  <si>
    <t>2012 r.</t>
  </si>
  <si>
    <t>po roku 2012</t>
  </si>
  <si>
    <t>PO RYBY 2007-2013</t>
  </si>
  <si>
    <t>Modernizacja i remont portu rybackiego w Stepnicy II etap</t>
  </si>
  <si>
    <t>2007-2010</t>
  </si>
  <si>
    <t xml:space="preserve">PROW </t>
  </si>
  <si>
    <t xml:space="preserve">Remont chodników w Miłowie </t>
  </si>
  <si>
    <t>RPO WZ</t>
  </si>
  <si>
    <t>Budowa infrastruktury rekreacyjnej i żeglarskiej w Stepnicy</t>
  </si>
  <si>
    <t>2007-2011</t>
  </si>
  <si>
    <t>PROW</t>
  </si>
  <si>
    <t>Budowa przystani żeglrskiej w Gąsierzynie</t>
  </si>
  <si>
    <t>2008-2010</t>
  </si>
  <si>
    <t>Program Operacyjny Inowacyjna Gospodarka</t>
  </si>
  <si>
    <t>Wprowadzenie systemu E-urząd do Urzędu i jednostek podległych Gminy Stepnica</t>
  </si>
  <si>
    <t>2009-2011</t>
  </si>
  <si>
    <t>Przeciwdziałanie wykluczeniu cyfrowemu - Internet dla mieszkańców Gminy Stepnica</t>
  </si>
  <si>
    <t>2009-2013</t>
  </si>
  <si>
    <t>ROP WZ</t>
  </si>
  <si>
    <t>Zakup samochodu ratowniczo - gaśniczego wraz z wyposażeniem dla Ochotniczej Straży Pożarnej w Stepnicy</t>
  </si>
  <si>
    <t>2010-2011</t>
  </si>
  <si>
    <t>RPO WZ  Poddziałania 7.1.2  Infrastruktura edukacyjna - szkolnictwo gimnazjalne i ponadgimnazjalne</t>
  </si>
  <si>
    <t>Rozbiórka  i  dobudowa przybudówki do Gimnazjum w Stepnicy wraz z zakupem środków dydaktycznych</t>
  </si>
  <si>
    <t>2006-2010</t>
  </si>
  <si>
    <t>POKL</t>
  </si>
  <si>
    <t>Aktywizacja zawodowa ludności "Z bezradności do aktywności"</t>
  </si>
  <si>
    <t>2008-2013</t>
  </si>
  <si>
    <t>Edukacyjna świetlica - Gimnazjum</t>
  </si>
  <si>
    <t>„Złota Jesień w sieci" - GOK</t>
  </si>
  <si>
    <t>„Komputer narzędziem pracy – szkolenia wspierające aktywność zawodową i lokalną mieszkańców z terenu Gminy Stepnica - GOK</t>
  </si>
  <si>
    <t>„Razem w przedszkolu – inicjatywa lokalna na rzecz dzieci 3-5 lat z terenu Gminy Stepnica” - ZSP Stepnica</t>
  </si>
  <si>
    <t xml:space="preserve">„Budowa oczyszczalni ścieków w Budzieniu i Widzieńsku oraz rozbudowa sieci wodno-kanalizacyjnej wsi Kopice, Czarnocin, Stepnica </t>
  </si>
  <si>
    <t>2005-2012</t>
  </si>
  <si>
    <t>Budowa 5 małych boisk sportowych z infrastrukturą towarzyszącą we wsiach Stepnica Czarnocin, Kopice,  Łaka i Stepniczka</t>
  </si>
  <si>
    <t>2010r wykonanie</t>
  </si>
  <si>
    <t>Limity wydatków Gminy Stepnica</t>
  </si>
  <si>
    <t>na wieloletnie programy inwestycyjne realizowane</t>
  </si>
  <si>
    <t>w latach 2010 i kolejnych</t>
  </si>
  <si>
    <t>Jednostka organizacyjna realizująca program lub koordynująca wykonanie programu</t>
  </si>
  <si>
    <t>Okres realizacji</t>
  </si>
  <si>
    <t>Łączne nakłady finansowe
(w zł)</t>
  </si>
  <si>
    <t>Planowane wydatki</t>
  </si>
  <si>
    <t xml:space="preserve">Gmina Stepnica - Urząd Gminy </t>
  </si>
  <si>
    <t>Modernizacja sieci wodociągowej i dokończenie zwodociągowania Gminy Stepnica</t>
  </si>
  <si>
    <t>2010-2013</t>
  </si>
  <si>
    <t>Budowa i modernizacja dróg gminnych</t>
  </si>
  <si>
    <t>2009-2015</t>
  </si>
  <si>
    <t>Modernizacja portu morskeigo</t>
  </si>
  <si>
    <t>Budowa budownictwa mieszkaniowego</t>
  </si>
  <si>
    <t>2010-2012</t>
  </si>
  <si>
    <t>Gmina Stepnica - Ochotnicza Straż Pożarna</t>
  </si>
  <si>
    <t>Modernizacja kotłowni i instalacji c.o. w ZSP w Stepnicy</t>
  </si>
  <si>
    <t>Termomodernizacja elewacja i dachy ZSP w Stepnicy</t>
  </si>
  <si>
    <t>2009-2010</t>
  </si>
  <si>
    <t>Wymiana instalacji elektrycznej w ZSP w Stepnicy</t>
  </si>
  <si>
    <t>Budowa kanalizacji deszczowej Os. 40-lecia PRL</t>
  </si>
  <si>
    <t>Budowa placów zabaw w miejscowościach : Bogusławie, Widzieńsko, Stepnica, Miłowo, Stepniczka, Czarnocin, Budzień, Gąsierzyno, Łąka, Jarszewko, Zielończyn, Żarnówko, Racimierz i Kopice</t>
  </si>
  <si>
    <t>Budowa domu kultury z biblioteką w Stepnicy</t>
  </si>
  <si>
    <t>Budowa domu kultury z biblioteką w Racimierzu</t>
  </si>
  <si>
    <t>Budowa  lub modrnizacja świetlic wiejskich w Czarnocinie, Kopicach, Widzieńsku, Gąsierzynie.</t>
  </si>
  <si>
    <t>Budowa Hali Widowiskowo-Sportowej w Stepnicy</t>
  </si>
  <si>
    <t>Budowa Centrum rekracji w parku Stepnica</t>
  </si>
  <si>
    <t>2010r. Wydatki zrealizowane</t>
  </si>
  <si>
    <t xml:space="preserve">Wymiana instalacji elektrycznej w ZSP w Stepnicy </t>
  </si>
  <si>
    <t>Dochody i wydatki budżetu Gminy Stepnica</t>
  </si>
  <si>
    <t xml:space="preserve">
związane z realizacją zadań wykonywanych na podstawiwe porozumień (umów) </t>
  </si>
  <si>
    <t>między jednostkami samorządu terytorianego w 2010r.</t>
  </si>
  <si>
    <t>Dotacje
ogółem</t>
  </si>
  <si>
    <t>z tego: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</si>
  <si>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</si>
  <si>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</si>
  <si>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</si>
  <si>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</si>
  <si>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</si>
  <si>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Wynagrodzenia i składki od nich naliczane</t>
  </si>
  <si>
    <t>Wydatki związane z realizacją zadań statutowych</t>
  </si>
  <si>
    <t>Ogółem Plan</t>
  </si>
  <si>
    <t>Ogółem Realizacja</t>
  </si>
  <si>
    <t>Wydatki
ogółem
(5+11)</t>
  </si>
  <si>
    <t>Załącznik Nr 6</t>
  </si>
  <si>
    <t>Wydatki jednostek pomocniczych</t>
  </si>
  <si>
    <t>w ramach budżetu Gminy Stepnica</t>
  </si>
  <si>
    <t>w 2010r.</t>
  </si>
  <si>
    <t>Jednostka pomocnicza</t>
  </si>
  <si>
    <t>Plan wydatków</t>
  </si>
  <si>
    <t>ogółem na 2010r.</t>
  </si>
  <si>
    <t>Fundusz sołecki</t>
  </si>
  <si>
    <t>Pozostałe wydatki</t>
  </si>
  <si>
    <t>Sołectwo Budzień</t>
  </si>
  <si>
    <t>Zakup urządzeń na plac zabaw</t>
  </si>
  <si>
    <t>Ogrodzenie placu zabaw</t>
  </si>
  <si>
    <t>Sołectwo Bogusławie</t>
  </si>
  <si>
    <t>Sołectwo Widzieńsko</t>
  </si>
  <si>
    <t>Sołectwo Stepnica</t>
  </si>
  <si>
    <t>Wyposażenie placu zabaww przy przedszkolu</t>
  </si>
  <si>
    <t>Wyposażenie placu zabaww na Oś. 40-lecia PRL</t>
  </si>
  <si>
    <t>Sołectwo Stepniczka</t>
  </si>
  <si>
    <t>Budowa wiaty wypoczynkowej</t>
  </si>
  <si>
    <t>Sołectwo Miłowo</t>
  </si>
  <si>
    <t>Sołectwo Zielonczyn</t>
  </si>
  <si>
    <t>Sołectwo Żarnówko</t>
  </si>
  <si>
    <t>Sołectwo Żarnowo</t>
  </si>
  <si>
    <t>Budowa wiaty  i placu z polbruku przy boisku w Żarnowie</t>
  </si>
  <si>
    <t>Sołectwo Łąka</t>
  </si>
  <si>
    <t>Sołectwo Racimierz</t>
  </si>
  <si>
    <t xml:space="preserve">Zakup urządzeń na plac zabaw </t>
  </si>
  <si>
    <t>Sołectwo Jarszewko</t>
  </si>
  <si>
    <t>Wykonanie i zakup urządzeń na plac zabaw</t>
  </si>
  <si>
    <t>Sołectwo Piaski Małe</t>
  </si>
  <si>
    <t>Budowa pomostu drewnianego na plazy i wyposazenie terenu plaży</t>
  </si>
  <si>
    <t>Sołectwo Kopice</t>
  </si>
  <si>
    <t>Sołectwo Czarnocin</t>
  </si>
  <si>
    <t>Zakup urządzen na plac zabaw</t>
  </si>
  <si>
    <t>Ogrodzenie terenu</t>
  </si>
  <si>
    <t>Zagospodarowanie terenu ławki, alejki, boisko do siatkówki</t>
  </si>
  <si>
    <t>Sołectwo Gąsierzyno</t>
  </si>
  <si>
    <t>Chodnik od świetlicy do placu zabaw</t>
  </si>
  <si>
    <t>Ogrodzenie świetlicy</t>
  </si>
  <si>
    <t>Odsekowanie wiaty</t>
  </si>
  <si>
    <t>wydatków</t>
  </si>
  <si>
    <t>Wodociąg Parkowa, Łąkowa</t>
  </si>
  <si>
    <t>grudzień 2010</t>
  </si>
  <si>
    <t>Przebudowa ulicy Woj. Polskiego i Łąkowej w Stepnicy</t>
  </si>
  <si>
    <t>Budowa pomostu na plaży w Piaskach</t>
  </si>
  <si>
    <t>sierpień 2011</t>
  </si>
  <si>
    <t>Zakup regałow archiwalnych do ewidencji ludności</t>
  </si>
  <si>
    <t>wrzesien 2010</t>
  </si>
  <si>
    <t>Zakup wyspoażenie klas Stepnica i inne</t>
  </si>
  <si>
    <t>Zakup samochodu bojowego dla OSP Stepnica UE</t>
  </si>
  <si>
    <t>Budowa kanalizacji Parkowa, Łąkowa</t>
  </si>
  <si>
    <t>Kanalziacja Tęczowa dokończenie</t>
  </si>
  <si>
    <t>Kanalziacja Osiedle 40-lecia PRL</t>
  </si>
  <si>
    <t>Dokończenie sieci kanalizacyjnej w Gminie</t>
  </si>
  <si>
    <t xml:space="preserve">Inwestycje realizowane w Gmnie Stepnica w roku budżetowym 2010 </t>
  </si>
  <si>
    <t>Termomodernizacja budynku GOK w Stepnicy</t>
  </si>
  <si>
    <t>Termomodernizacja szkoły w Stepnicy</t>
  </si>
  <si>
    <t>Termomodernizacja Sali gimnastycznej w Racimierzu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</si>
  <si>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</si>
  <si>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</si>
  <si>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</si>
  <si>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</si>
  <si>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</si>
  <si>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</si>
  <si>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</si>
  <si>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</si>
  <si>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</si>
  <si>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</si>
  <si>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</si>
  <si>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</si>
  <si>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</si>
  <si>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</si>
  <si>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</si>
  <si>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</si>
  <si>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</si>
  <si>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</si>
  <si>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</si>
  <si>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</si>
  <si>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</si>
  <si>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</si>
  <si>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</si>
  <si>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</si>
  <si>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</si>
  <si>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</si>
  <si>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</si>
  <si>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</si>
  <si>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</si>
  <si>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</si>
  <si>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</si>
  <si>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400</t>
  </si>
  <si>
    <t>40002</t>
  </si>
  <si>
    <t>60004</t>
  </si>
  <si>
    <t>60013</t>
  </si>
  <si>
    <t>60014</t>
  </si>
  <si>
    <t>Zadania w zakresie upowszechniania turystyki</t>
  </si>
  <si>
    <t>63095</t>
  </si>
  <si>
    <t>Gospodarka mieszkaniowa</t>
  </si>
  <si>
    <t>71004</t>
  </si>
  <si>
    <t>75011</t>
  </si>
  <si>
    <t>Urzędy wojewódzkie</t>
  </si>
  <si>
    <t>75022</t>
  </si>
  <si>
    <t>Rady gmin (miast i miast na prawach powiatu)</t>
  </si>
  <si>
    <t>Urzędy gmin (miast i miast na prawach powiatu)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</si>
  <si>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</si>
  <si>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</si>
  <si>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</si>
  <si>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75405</t>
  </si>
  <si>
    <t>75406</t>
  </si>
  <si>
    <t>Straż Graniczna</t>
  </si>
  <si>
    <t>Ochotnicze straże pożarne</t>
  </si>
  <si>
    <t>75414</t>
  </si>
  <si>
    <t>Obrona cywilna</t>
  </si>
  <si>
    <t>Dochody od osób prawnych, od osób fizycznych i od innych jednostek nieposiadających osobowości prawnej oraz wydatki związane z ich poborem</t>
  </si>
  <si>
    <t>75647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</si>
  <si>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</si>
  <si>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</si>
  <si>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</si>
  <si>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</si>
  <si>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</si>
  <si>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80103</t>
  </si>
  <si>
    <t>Oddziały przedszkolne w szkołach podstawowych</t>
  </si>
  <si>
    <t>80104</t>
  </si>
  <si>
    <t xml:space="preserve">Przedszkola </t>
  </si>
  <si>
    <t>80146</t>
  </si>
  <si>
    <t>Dokształcanie i doskonalenie nauczycieli</t>
  </si>
  <si>
    <t>80195</t>
  </si>
  <si>
    <t>803</t>
  </si>
  <si>
    <t>80395</t>
  </si>
  <si>
    <t>85153</t>
  </si>
  <si>
    <t>85154</t>
  </si>
  <si>
    <t>Składki na ubezpieczenie zdrowotne opłacane za osoby pobierajace niektóre świadczenia z pomocy społecznej, niektóre świadczenia rodzinne oraz za osoby uczestniczące w zajęciach w centrum integracji społecznej.</t>
  </si>
  <si>
    <t>85215</t>
  </si>
  <si>
    <t>85228</t>
  </si>
  <si>
    <t>85401</t>
  </si>
  <si>
    <t>85412</t>
  </si>
  <si>
    <t>Kolonie i obozy oraz inne formy wypoczynku dzieci i młodzieży szkolnej, a także szkolenia młodzieży</t>
  </si>
  <si>
    <t>90003</t>
  </si>
  <si>
    <t>90004</t>
  </si>
  <si>
    <t>90011</t>
  </si>
  <si>
    <t>Fundusz Ochrony Środowiska i Gospodarki Wodnej</t>
  </si>
  <si>
    <t>90015</t>
  </si>
  <si>
    <t>90095</t>
  </si>
  <si>
    <t>Domy i ośrodki kultury, świetlice i kluby</t>
  </si>
  <si>
    <t>92195</t>
  </si>
  <si>
    <t>92601</t>
  </si>
  <si>
    <t>Wydatki razem:</t>
  </si>
  <si>
    <t>Wydatki razem wykonanie:</t>
  </si>
  <si>
    <t>0,00</t>
  </si>
  <si>
    <t>Załącznik nr 2</t>
  </si>
  <si>
    <t>Wydatki budżetu Gminy Stepnica w 2010r.</t>
  </si>
  <si>
    <t>do informacji za I półrocze 2010</t>
  </si>
  <si>
    <t>Przychody i rozchody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</si>
  <si>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</si>
  <si>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</si>
  <si>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</si>
  <si>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</si>
  <si>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</si>
  <si>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</si>
  <si>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</si>
  <si>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</si>
  <si>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</si>
  <si>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</si>
  <si>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</si>
  <si>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</si>
  <si>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</si>
  <si>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</si>
  <si>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</si>
  <si>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</si>
  <si>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</si>
  <si>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</si>
  <si>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</si>
  <si>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</si>
  <si>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</si>
  <si>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</si>
  <si>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</si>
  <si>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</si>
  <si>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</si>
  <si>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</si>
  <si>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</si>
  <si>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 (obligacji)</t>
  </si>
  <si>
    <t>§ 982</t>
  </si>
  <si>
    <t>Rozchody z tytułu innych rozliczeń</t>
  </si>
  <si>
    <t>§ 995</t>
  </si>
  <si>
    <t>budżetu Gminy Stepnica w 2010r.</t>
  </si>
  <si>
    <t>związane z realizacją zadań z zakresu administracji rządowej i innych zadań</t>
  </si>
  <si>
    <t>zleconych odrębnymi ustawami w 2010r.</t>
  </si>
  <si>
    <t>Wydatki</t>
  </si>
  <si>
    <t>Z tego:</t>
  </si>
  <si>
    <t>w tym :</t>
  </si>
  <si>
    <t>wydatki jednostek budzetowych</t>
  </si>
  <si>
    <t>840,00</t>
  </si>
  <si>
    <t>Razem plan:</t>
  </si>
  <si>
    <t>Razem wykonanie w zł:</t>
  </si>
  <si>
    <t>Razem wykonanie w %:</t>
  </si>
  <si>
    <t>Załącznik Nr 5</t>
  </si>
  <si>
    <t>na co wydano</t>
  </si>
  <si>
    <t>Załącznik Nr 7</t>
  </si>
  <si>
    <t>Załącznik Nr 8</t>
  </si>
  <si>
    <t>Dotacje celowe udzielone z budżetu Gminy Stepnica na zadania  własne gminy realizowane przez podmioty należące do sektora finansów publicznych w 2010 r.</t>
  </si>
  <si>
    <t>Załącznik 10</t>
  </si>
  <si>
    <t>% wykonania</t>
  </si>
  <si>
    <t>Dotacja na programy realziowane przez GOK z UE</t>
  </si>
  <si>
    <t>Dotacja na programy realziowane przez GOK z UE wkład Skarbu Państwa</t>
  </si>
  <si>
    <t>Działalność GOK</t>
  </si>
  <si>
    <t>Działalność Biblioteki</t>
  </si>
  <si>
    <t>Ogółem:</t>
  </si>
  <si>
    <t>Dotacje celowe udzielone z budżetu Gminy Stepnica na zadania własne gminy realizowane przez podmioty nienależące do sektora finansów publicznych w 2010r.</t>
  </si>
  <si>
    <t>Turystyka dofinansowanie zadań zleconych do realizacji stowarzyszeniom</t>
  </si>
  <si>
    <t>Turystyka dofinansowanie zadań zleconych do realizacji pozostałym jednostkom nie zaliczanym do sektora finansów publicznych</t>
  </si>
  <si>
    <t>Promocja dofinansowanie zadań zleconych do realizacji stowarzyszeniom</t>
  </si>
  <si>
    <t>OSP Dotacja samochód Zakup wozów gasniczych i sprzetu p.poż</t>
  </si>
  <si>
    <t>Sport masowy dofinansowanie zadań zleconych do realizacji fundacjom</t>
  </si>
  <si>
    <t>Sport masowy dofinansowanie zadań zleconych do realizacji pozostałym jednostkom nie zaliczanym do sektora finansów publicznych</t>
  </si>
  <si>
    <t>Sport masowy dofinansowanie zadań zleconych do realizacji stowarzyszeniom</t>
  </si>
  <si>
    <t>Turniej, gale , zawody dofinansowanie zadań zleconych do realizacji fundacjom</t>
  </si>
  <si>
    <t>Turniej, gale, zawody dofinansowanie zadań zleconych do realizacji pozostałym jednostkom nie zaliczanym do sektora finansów publicznych</t>
  </si>
  <si>
    <t>Dotacje celowe związane z realizacją zadań wykonywanych na podstawie porozumień (umów) między jednostkami samorządu terytorialnego a Gminą Stepnica w 2010r.</t>
  </si>
  <si>
    <t>Partycypacja w budowie chodników ul. Krzywoustego w Stepnicy</t>
  </si>
  <si>
    <t>Wsparcie funkcjonowania Akademii Sztuki w Szczecinie</t>
  </si>
  <si>
    <t>Załącznik Nr 11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</si>
</sst>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#,##0.0"/>
    <numFmt numFmtId="173" formatCode="0.0%"/>
    <numFmt numFmtId="174" formatCode="0.00;[Red]0.00"/>
    <numFmt numFmtId="175" formatCode="_-* #,##0.0\ _z_ł_-;\-* #,##0.0\ _z_ł_-;_-* &quot;-&quot;??\ _z_ł_-;_-@_-"/>
    <numFmt numFmtId="176" formatCode="_-* #,##0\ _z_ł_-;\-* #,##0\ _z_ł_-;_-* &quot;-&quot;??\ _z_ł_-;_-@_-"/>
    <numFmt numFmtId="177" formatCode="0.0"/>
    <numFmt numFmtId="178" formatCode="#,##0.000"/>
    <numFmt numFmtId="179" formatCode="#,##0.0000"/>
    <numFmt numFmtId="180" formatCode="0.000%"/>
    <numFmt numFmtId="181" formatCode="0.0000%"/>
    <numFmt numFmtId="182" formatCode="0.000"/>
    <numFmt numFmtId="183" formatCode="#,##0\ &quot;zł&quot;"/>
    <numFmt numFmtId="184" formatCode="#,##0.00\ &quot;zł&quot;"/>
    <numFmt numFmtId="185" formatCode="d\ mmm\ yy"/>
    <numFmt numFmtId="186" formatCode="#,##0.00000"/>
    <numFmt numFmtId="187" formatCode="#,##0.000000"/>
    <numFmt numFmtId="188" formatCode="#,##0.0000000"/>
    <numFmt numFmtId="189" formatCode="#,##0;[Red]#,##0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d/mm"/>
    <numFmt numFmtId="194" formatCode="dd\ mmm\ yy"/>
    <numFmt numFmtId="195" formatCode="mmm/yyyy"/>
    <numFmt numFmtId="196" formatCode="d\ mmm"/>
    <numFmt numFmtId="197" formatCode="#,##0_ ;[Red]\-#,##0\ "/>
    <numFmt numFmtId="198" formatCode="[$€-2]\ #,##0.00_);[Red]\([$€-2]\ #,##0.00\)"/>
    <numFmt numFmtId="199" formatCode="[$-415]d\ mmmm\ yyyy"/>
    <numFmt numFmtId="200" formatCode="[$-415]d\ mmm;@"/>
    <numFmt numFmtId="201" formatCode="[$-415]mmm\ yy;@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6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10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 quotePrefix="1">
      <alignment wrapText="1"/>
    </xf>
    <xf numFmtId="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0" fillId="0" borderId="10" xfId="0" applyNumberForma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10" fontId="0" fillId="0" borderId="10" xfId="54" applyNumberFormat="1" applyFont="1" applyFill="1" applyBorder="1" applyAlignment="1" applyProtection="1">
      <alignment/>
      <protection locked="0"/>
    </xf>
    <xf numFmtId="4" fontId="11" fillId="0" borderId="10" xfId="0" applyNumberFormat="1" applyFont="1" applyFill="1" applyBorder="1" applyAlignment="1" applyProtection="1">
      <alignment/>
      <protection locked="0"/>
    </xf>
    <xf numFmtId="10" fontId="11" fillId="0" borderId="10" xfId="54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vertical="center"/>
    </xf>
    <xf numFmtId="0" fontId="16" fillId="0" borderId="10" xfId="0" applyFont="1" applyFill="1" applyBorder="1" applyAlignment="1" quotePrefix="1">
      <alignment horizontal="center"/>
    </xf>
    <xf numFmtId="0" fontId="16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top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1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Fill="1" applyBorder="1" applyAlignment="1">
      <alignment wrapText="1"/>
    </xf>
    <xf numFmtId="4" fontId="3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0" fontId="3" fillId="0" borderId="0" xfId="54" applyNumberFormat="1" applyFont="1" applyAlignment="1">
      <alignment/>
    </xf>
    <xf numFmtId="49" fontId="3" fillId="0" borderId="0" xfId="0" applyNumberFormat="1" applyFont="1" applyAlignment="1">
      <alignment horizontal="right"/>
    </xf>
    <xf numFmtId="4" fontId="16" fillId="0" borderId="10" xfId="0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right"/>
    </xf>
    <xf numFmtId="4" fontId="16" fillId="34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10" fontId="23" fillId="0" borderId="0" xfId="0" applyNumberFormat="1" applyFont="1" applyFill="1" applyBorder="1" applyAlignment="1" applyProtection="1">
      <alignment horizont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49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 wrapText="1"/>
      <protection locked="0"/>
    </xf>
    <xf numFmtId="0" fontId="23" fillId="0" borderId="0" xfId="0" applyNumberFormat="1" applyFont="1" applyFill="1" applyBorder="1" applyAlignment="1" applyProtection="1">
      <alignment horizontal="left" wrapText="1"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" fontId="26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26" fillId="36" borderId="20" xfId="0" applyNumberFormat="1" applyFont="1" applyFill="1" applyBorder="1" applyAlignment="1" applyProtection="1">
      <alignment horizontal="right" vertical="center" wrapText="1"/>
      <protection locked="0"/>
    </xf>
    <xf numFmtId="4" fontId="14" fillId="36" borderId="2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0" xfId="0" applyNumberFormat="1" applyFont="1" applyFill="1" applyBorder="1" applyAlignment="1" applyProtection="1">
      <alignment horizontal="left" vertical="center" wrapText="1"/>
      <protection locked="0"/>
    </xf>
    <xf numFmtId="10" fontId="2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0" xfId="0" applyNumberFormat="1" applyFont="1" applyFill="1" applyBorder="1" applyAlignment="1" applyProtection="1">
      <alignment horizontal="left" vertical="center" wrapText="1"/>
      <protection locked="0"/>
    </xf>
    <xf numFmtId="10" fontId="2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10" fontId="4" fillId="0" borderId="10" xfId="54" applyNumberFormat="1" applyFont="1" applyBorder="1" applyAlignment="1">
      <alignment vertical="center"/>
    </xf>
    <xf numFmtId="10" fontId="3" fillId="0" borderId="23" xfId="54" applyNumberFormat="1" applyFont="1" applyBorder="1" applyAlignment="1">
      <alignment vertical="center"/>
    </xf>
    <xf numFmtId="10" fontId="3" fillId="0" borderId="24" xfId="54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vertical="center" wrapText="1"/>
      <protection/>
    </xf>
    <xf numFmtId="0" fontId="29" fillId="0" borderId="19" xfId="0" applyNumberFormat="1" applyFont="1" applyFill="1" applyBorder="1" applyAlignment="1" applyProtection="1">
      <alignment vertical="center" wrapText="1"/>
      <protection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0" fontId="29" fillId="0" borderId="25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4" fontId="14" fillId="0" borderId="21" xfId="0" applyNumberFormat="1" applyFont="1" applyFill="1" applyBorder="1" applyAlignment="1" applyProtection="1">
      <alignment horizontal="right" vertical="center" wrapText="1"/>
      <protection/>
    </xf>
    <xf numFmtId="4" fontId="14" fillId="0" borderId="20" xfId="0" applyNumberFormat="1" applyFont="1" applyFill="1" applyBorder="1" applyAlignment="1" applyProtection="1">
      <alignment horizontal="right" vertical="center" wrapText="1"/>
      <protection/>
    </xf>
    <xf numFmtId="0" fontId="14" fillId="35" borderId="20" xfId="0" applyNumberFormat="1" applyFont="1" applyFill="1" applyBorder="1" applyAlignment="1" applyProtection="1">
      <alignment horizontal="center" vertical="center" wrapText="1"/>
      <protection/>
    </xf>
    <xf numFmtId="0" fontId="14" fillId="35" borderId="21" xfId="0" applyNumberFormat="1" applyFont="1" applyFill="1" applyBorder="1" applyAlignment="1" applyProtection="1">
      <alignment horizontal="left" vertical="center" wrapText="1"/>
      <protection/>
    </xf>
    <xf numFmtId="4" fontId="14" fillId="35" borderId="21" xfId="0" applyNumberFormat="1" applyFont="1" applyFill="1" applyBorder="1" applyAlignment="1" applyProtection="1">
      <alignment horizontal="right" vertical="center" wrapText="1"/>
      <protection/>
    </xf>
    <xf numFmtId="4" fontId="26" fillId="35" borderId="21" xfId="0" applyNumberFormat="1" applyFont="1" applyFill="1" applyBorder="1" applyAlignment="1" applyProtection="1">
      <alignment horizontal="right" vertical="center" wrapText="1"/>
      <protection/>
    </xf>
    <xf numFmtId="0" fontId="14" fillId="0" borderId="20" xfId="0" applyNumberFormat="1" applyFont="1" applyFill="1" applyBorder="1" applyAlignment="1" applyProtection="1" quotePrefix="1">
      <alignment horizontal="center" vertical="center" wrapText="1"/>
      <protection/>
    </xf>
    <xf numFmtId="10" fontId="14" fillId="35" borderId="21" xfId="54" applyNumberFormat="1" applyFont="1" applyFill="1" applyBorder="1" applyAlignment="1" applyProtection="1">
      <alignment horizontal="center" vertical="center" wrapText="1"/>
      <protection/>
    </xf>
    <xf numFmtId="10" fontId="14" fillId="0" borderId="21" xfId="54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35" borderId="26" xfId="0" applyNumberFormat="1" applyFont="1" applyFill="1" applyBorder="1" applyAlignment="1" applyProtection="1" quotePrefix="1">
      <alignment horizontal="center" vertical="center" wrapText="1"/>
      <protection/>
    </xf>
    <xf numFmtId="4" fontId="14" fillId="35" borderId="27" xfId="0" applyNumberFormat="1" applyFont="1" applyFill="1" applyBorder="1" applyAlignment="1" applyProtection="1">
      <alignment horizontal="right" vertical="center" wrapText="1"/>
      <protection/>
    </xf>
    <xf numFmtId="0" fontId="14" fillId="35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4" fontId="14" fillId="0" borderId="27" xfId="0" applyNumberFormat="1" applyFont="1" applyFill="1" applyBorder="1" applyAlignment="1" applyProtection="1">
      <alignment horizontal="right" vertical="center" wrapText="1"/>
      <protection/>
    </xf>
    <xf numFmtId="4" fontId="26" fillId="35" borderId="27" xfId="0" applyNumberFormat="1" applyFont="1" applyFill="1" applyBorder="1" applyAlignment="1" applyProtection="1">
      <alignment horizontal="right" vertical="center" wrapText="1"/>
      <protection/>
    </xf>
    <xf numFmtId="4" fontId="26" fillId="35" borderId="28" xfId="0" applyNumberFormat="1" applyFont="1" applyFill="1" applyBorder="1" applyAlignment="1" applyProtection="1">
      <alignment horizontal="right" vertical="center" wrapText="1"/>
      <protection/>
    </xf>
    <xf numFmtId="4" fontId="26" fillId="35" borderId="29" xfId="0" applyNumberFormat="1" applyFont="1" applyFill="1" applyBorder="1" applyAlignment="1" applyProtection="1">
      <alignment horizontal="right" vertical="center" wrapText="1"/>
      <protection/>
    </xf>
    <xf numFmtId="10" fontId="8" fillId="35" borderId="10" xfId="54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9" fontId="28" fillId="37" borderId="30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3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NumberFormat="1" applyFont="1" applyFill="1" applyBorder="1" applyAlignment="1" applyProtection="1">
      <alignment horizontal="left"/>
      <protection locked="0"/>
    </xf>
    <xf numFmtId="49" fontId="29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7" borderId="20" xfId="0" applyNumberFormat="1" applyFont="1" applyFill="1" applyBorder="1" applyAlignment="1" applyProtection="1">
      <alignment horizontal="left" vertical="center" wrapText="1"/>
      <protection locked="0"/>
    </xf>
    <xf numFmtId="4" fontId="29" fillId="37" borderId="21" xfId="0" applyNumberFormat="1" applyFont="1" applyFill="1" applyBorder="1" applyAlignment="1" applyProtection="1">
      <alignment vertical="center" wrapText="1"/>
      <protection locked="0"/>
    </xf>
    <xf numFmtId="4" fontId="29" fillId="0" borderId="10" xfId="0" applyNumberFormat="1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4" fontId="29" fillId="37" borderId="18" xfId="0" applyNumberFormat="1" applyFont="1" applyFill="1" applyBorder="1" applyAlignment="1" applyProtection="1">
      <alignment vertical="center" wrapText="1"/>
      <protection locked="0"/>
    </xf>
    <xf numFmtId="10" fontId="29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9" fillId="0" borderId="15" xfId="0" applyNumberFormat="1" applyFont="1" applyFill="1" applyBorder="1" applyAlignment="1" applyProtection="1">
      <alignment horizontal="left"/>
      <protection locked="0"/>
    </xf>
    <xf numFmtId="49" fontId="29" fillId="37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29" fillId="37" borderId="21" xfId="0" applyNumberFormat="1" applyFont="1" applyFill="1" applyBorder="1" applyAlignment="1" applyProtection="1">
      <alignment horizontal="left" vertical="center" wrapText="1"/>
      <protection locked="0"/>
    </xf>
    <xf numFmtId="4" fontId="29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10" fontId="29" fillId="0" borderId="10" xfId="0" applyNumberFormat="1" applyFont="1" applyFill="1" applyBorder="1" applyAlignment="1" applyProtection="1">
      <alignment horizontal="right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9" fillId="37" borderId="21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4" xfId="0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NumberFormat="1" applyFont="1" applyFill="1" applyBorder="1" applyAlignment="1" applyProtection="1">
      <alignment horizontal="center" vertical="center" wrapText="1"/>
      <protection/>
    </xf>
    <xf numFmtId="0" fontId="29" fillId="0" borderId="36" xfId="0" applyNumberFormat="1" applyFont="1" applyFill="1" applyBorder="1" applyAlignment="1" applyProtection="1">
      <alignment horizontal="center" vertical="center" wrapText="1"/>
      <protection/>
    </xf>
    <xf numFmtId="0" fontId="29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8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 applyProtection="1">
      <alignment horizontal="center" vertical="center" wrapText="1"/>
      <protection/>
    </xf>
    <xf numFmtId="0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 applyProtection="1">
      <alignment horizontal="center" vertical="center" wrapText="1"/>
      <protection/>
    </xf>
    <xf numFmtId="0" fontId="29" fillId="0" borderId="41" xfId="0" applyNumberFormat="1" applyFont="1" applyFill="1" applyBorder="1" applyAlignment="1" applyProtection="1">
      <alignment horizontal="center" vertical="center" wrapText="1"/>
      <protection/>
    </xf>
    <xf numFmtId="0" fontId="29" fillId="0" borderId="31" xfId="0" applyNumberFormat="1" applyFont="1" applyFill="1" applyBorder="1" applyAlignment="1" applyProtection="1">
      <alignment horizontal="center" vertical="center" wrapText="1"/>
      <protection/>
    </xf>
    <xf numFmtId="0" fontId="29" fillId="0" borderId="42" xfId="0" applyNumberFormat="1" applyFont="1" applyFill="1" applyBorder="1" applyAlignment="1" applyProtection="1">
      <alignment horizontal="center" vertical="center" wrapText="1"/>
      <protection/>
    </xf>
    <xf numFmtId="0" fontId="29" fillId="0" borderId="30" xfId="0" applyNumberFormat="1" applyFont="1" applyFill="1" applyBorder="1" applyAlignment="1" applyProtection="1">
      <alignment horizontal="center" vertical="center" wrapText="1"/>
      <protection/>
    </xf>
    <xf numFmtId="0" fontId="26" fillId="35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6" fillId="35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6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64" xfId="0" applyBorder="1" applyAlignment="1">
      <alignment horizontal="right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4" fillId="35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6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zoomScalePageLayoutView="0" workbookViewId="0" topLeftCell="A106">
      <selection activeCell="E119" sqref="E119:F120"/>
    </sheetView>
  </sheetViews>
  <sheetFormatPr defaultColWidth="9.00390625" defaultRowHeight="12.75"/>
  <cols>
    <col min="1" max="1" width="7.00390625" style="0" customWidth="1"/>
    <col min="2" max="2" width="8.00390625" style="0" customWidth="1"/>
    <col min="3" max="3" width="6.875" style="0" customWidth="1"/>
    <col min="4" max="4" width="35.00390625" style="0" customWidth="1"/>
    <col min="5" max="5" width="12.75390625" style="0" customWidth="1"/>
    <col min="6" max="6" width="12.75390625" style="0" bestFit="1" customWidth="1"/>
    <col min="7" max="7" width="12.25390625" style="0" customWidth="1"/>
    <col min="11" max="11" width="12.75390625" style="0" bestFit="1" customWidth="1"/>
  </cols>
  <sheetData>
    <row r="1" spans="1:7" ht="20.25">
      <c r="A1" s="122"/>
      <c r="G1" s="9" t="s">
        <v>139</v>
      </c>
    </row>
    <row r="2" ht="12.75">
      <c r="G2" s="9" t="s">
        <v>140</v>
      </c>
    </row>
    <row r="4" spans="1:7" ht="18.75">
      <c r="A4" s="212" t="s">
        <v>214</v>
      </c>
      <c r="B4" s="212"/>
      <c r="C4" s="212"/>
      <c r="D4" s="212"/>
      <c r="E4" s="212"/>
      <c r="F4" s="212"/>
      <c r="G4" s="212"/>
    </row>
    <row r="6" spans="1:7" ht="25.5">
      <c r="A6" s="10" t="s">
        <v>47</v>
      </c>
      <c r="B6" s="10" t="s">
        <v>51</v>
      </c>
      <c r="C6" s="10" t="s">
        <v>53</v>
      </c>
      <c r="D6" s="10" t="s">
        <v>141</v>
      </c>
      <c r="E6" s="11" t="s">
        <v>215</v>
      </c>
      <c r="F6" s="48" t="s">
        <v>253</v>
      </c>
      <c r="G6" s="12" t="s">
        <v>254</v>
      </c>
    </row>
    <row r="7" spans="1:7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2.75">
      <c r="A8" s="14" t="s">
        <v>6</v>
      </c>
      <c r="B8" s="14" t="s">
        <v>8</v>
      </c>
      <c r="C8" s="15">
        <v>2010</v>
      </c>
      <c r="D8" s="16" t="s">
        <v>142</v>
      </c>
      <c r="E8" s="46">
        <v>92417.3</v>
      </c>
      <c r="F8" s="46">
        <v>92417.3</v>
      </c>
      <c r="G8" s="49">
        <f>F8/E8</f>
        <v>1</v>
      </c>
    </row>
    <row r="9" spans="1:7" ht="12.75">
      <c r="A9" s="14" t="s">
        <v>114</v>
      </c>
      <c r="B9" s="14" t="s">
        <v>115</v>
      </c>
      <c r="C9" s="14" t="s">
        <v>75</v>
      </c>
      <c r="D9" s="16" t="s">
        <v>143</v>
      </c>
      <c r="E9" s="46">
        <v>21960</v>
      </c>
      <c r="F9" s="46">
        <v>12077.76</v>
      </c>
      <c r="G9" s="49">
        <f aca="true" t="shared" si="0" ref="G9:G77">F9/E9</f>
        <v>0.5499890710382513</v>
      </c>
    </row>
    <row r="10" spans="1:7" ht="12.75">
      <c r="A10" s="15">
        <v>600</v>
      </c>
      <c r="B10" s="19">
        <v>60004</v>
      </c>
      <c r="C10" s="14" t="s">
        <v>73</v>
      </c>
      <c r="D10" s="20" t="s">
        <v>216</v>
      </c>
      <c r="E10" s="46">
        <v>1200</v>
      </c>
      <c r="F10" s="46">
        <v>488</v>
      </c>
      <c r="G10" s="49">
        <f t="shared" si="0"/>
        <v>0.4066666666666667</v>
      </c>
    </row>
    <row r="11" spans="1:7" ht="12.75">
      <c r="A11" s="15">
        <v>600</v>
      </c>
      <c r="B11" s="19">
        <v>60013</v>
      </c>
      <c r="C11" s="14" t="s">
        <v>73</v>
      </c>
      <c r="D11" s="20" t="s">
        <v>217</v>
      </c>
      <c r="E11" s="46">
        <v>0</v>
      </c>
      <c r="F11" s="46">
        <v>5488</v>
      </c>
      <c r="G11" s="49"/>
    </row>
    <row r="12" spans="1:7" ht="12.75">
      <c r="A12" s="15">
        <v>600</v>
      </c>
      <c r="B12" s="19">
        <v>60013</v>
      </c>
      <c r="C12" s="14" t="s">
        <v>73</v>
      </c>
      <c r="D12" s="20" t="s">
        <v>218</v>
      </c>
      <c r="E12" s="46">
        <v>15000</v>
      </c>
      <c r="F12" s="46">
        <v>0</v>
      </c>
      <c r="G12" s="49">
        <f t="shared" si="0"/>
        <v>0</v>
      </c>
    </row>
    <row r="13" spans="1:7" ht="12.75">
      <c r="A13" s="15">
        <v>600</v>
      </c>
      <c r="B13" s="21" t="s">
        <v>146</v>
      </c>
      <c r="C13" s="14" t="s">
        <v>134</v>
      </c>
      <c r="D13" s="18" t="s">
        <v>147</v>
      </c>
      <c r="E13" s="46">
        <v>8000</v>
      </c>
      <c r="F13" s="46">
        <v>748.16</v>
      </c>
      <c r="G13" s="49">
        <f t="shared" si="0"/>
        <v>0.09351999999999999</v>
      </c>
    </row>
    <row r="14" spans="1:7" ht="12.75">
      <c r="A14" s="15">
        <v>600</v>
      </c>
      <c r="B14" s="21" t="s">
        <v>146</v>
      </c>
      <c r="C14" s="14" t="s">
        <v>219</v>
      </c>
      <c r="D14" s="18" t="s">
        <v>220</v>
      </c>
      <c r="E14" s="46">
        <v>13120</v>
      </c>
      <c r="F14" s="46">
        <v>13120</v>
      </c>
      <c r="G14" s="49">
        <f t="shared" si="0"/>
        <v>1</v>
      </c>
    </row>
    <row r="15" spans="1:7" ht="12.75">
      <c r="A15" s="15">
        <v>600</v>
      </c>
      <c r="B15" s="21" t="s">
        <v>146</v>
      </c>
      <c r="C15" s="14" t="s">
        <v>75</v>
      </c>
      <c r="D15" s="18" t="s">
        <v>148</v>
      </c>
      <c r="E15" s="46">
        <v>80000</v>
      </c>
      <c r="F15" s="46">
        <v>25599.97</v>
      </c>
      <c r="G15" s="49">
        <f t="shared" si="0"/>
        <v>0.319999625</v>
      </c>
    </row>
    <row r="16" spans="1:7" ht="12.75">
      <c r="A16" s="15">
        <v>600</v>
      </c>
      <c r="B16" s="21" t="s">
        <v>146</v>
      </c>
      <c r="C16" s="14" t="s">
        <v>77</v>
      </c>
      <c r="D16" s="18" t="s">
        <v>149</v>
      </c>
      <c r="E16" s="46">
        <v>100</v>
      </c>
      <c r="F16" s="46">
        <v>89.97</v>
      </c>
      <c r="G16" s="49">
        <f t="shared" si="0"/>
        <v>0.8996999999999999</v>
      </c>
    </row>
    <row r="17" spans="1:7" ht="12.75">
      <c r="A17" s="15">
        <v>700</v>
      </c>
      <c r="B17" s="21" t="s">
        <v>16</v>
      </c>
      <c r="C17" s="14" t="s">
        <v>74</v>
      </c>
      <c r="D17" s="18" t="s">
        <v>150</v>
      </c>
      <c r="E17" s="46">
        <v>12500</v>
      </c>
      <c r="F17" s="46">
        <v>11835.46</v>
      </c>
      <c r="G17" s="49">
        <f t="shared" si="0"/>
        <v>0.9468367999999999</v>
      </c>
    </row>
    <row r="18" spans="1:7" ht="25.5">
      <c r="A18" s="15">
        <f>A17</f>
        <v>700</v>
      </c>
      <c r="B18" s="21" t="s">
        <v>16</v>
      </c>
      <c r="C18" s="14" t="s">
        <v>75</v>
      </c>
      <c r="D18" s="18" t="s">
        <v>151</v>
      </c>
      <c r="E18" s="46">
        <v>150000</v>
      </c>
      <c r="F18" s="46">
        <v>84312.86</v>
      </c>
      <c r="G18" s="49">
        <f t="shared" si="0"/>
        <v>0.5620857333333333</v>
      </c>
    </row>
    <row r="19" spans="1:7" ht="12.75">
      <c r="A19" s="15">
        <v>700</v>
      </c>
      <c r="B19" s="21" t="s">
        <v>16</v>
      </c>
      <c r="C19" s="14" t="s">
        <v>77</v>
      </c>
      <c r="D19" s="18" t="s">
        <v>37</v>
      </c>
      <c r="E19" s="46">
        <v>4000</v>
      </c>
      <c r="F19" s="46">
        <v>2486.41</v>
      </c>
      <c r="G19" s="49">
        <f t="shared" si="0"/>
        <v>0.6216025</v>
      </c>
    </row>
    <row r="20" spans="1:7" ht="12.75">
      <c r="A20" s="15">
        <v>700</v>
      </c>
      <c r="B20" s="21" t="s">
        <v>16</v>
      </c>
      <c r="C20" s="14" t="s">
        <v>72</v>
      </c>
      <c r="D20" s="18" t="s">
        <v>155</v>
      </c>
      <c r="E20" s="46">
        <v>500</v>
      </c>
      <c r="F20" s="46">
        <v>462.8</v>
      </c>
      <c r="G20" s="49">
        <f t="shared" si="0"/>
        <v>0.9256</v>
      </c>
    </row>
    <row r="21" spans="1:7" ht="12.75">
      <c r="A21" s="15">
        <v>710</v>
      </c>
      <c r="B21" s="21" t="s">
        <v>156</v>
      </c>
      <c r="C21" s="14" t="s">
        <v>75</v>
      </c>
      <c r="D21" s="20" t="s">
        <v>157</v>
      </c>
      <c r="E21" s="46">
        <v>8000</v>
      </c>
      <c r="F21" s="46">
        <v>5324.98</v>
      </c>
      <c r="G21" s="49">
        <f t="shared" si="0"/>
        <v>0.6656224999999999</v>
      </c>
    </row>
    <row r="22" spans="1:7" ht="12.75">
      <c r="A22" s="15">
        <v>710</v>
      </c>
      <c r="B22" s="19">
        <v>71035</v>
      </c>
      <c r="C22" s="14" t="s">
        <v>73</v>
      </c>
      <c r="D22" s="20" t="s">
        <v>158</v>
      </c>
      <c r="E22" s="46">
        <v>8000</v>
      </c>
      <c r="F22" s="46">
        <v>5529</v>
      </c>
      <c r="G22" s="49">
        <f t="shared" si="0"/>
        <v>0.691125</v>
      </c>
    </row>
    <row r="23" spans="1:7" ht="12.75">
      <c r="A23" s="15">
        <f>A22</f>
        <v>710</v>
      </c>
      <c r="B23" s="19">
        <v>71035</v>
      </c>
      <c r="C23" s="14" t="s">
        <v>77</v>
      </c>
      <c r="D23" s="20" t="s">
        <v>37</v>
      </c>
      <c r="E23" s="46">
        <v>100</v>
      </c>
      <c r="F23" s="46">
        <v>26.02</v>
      </c>
      <c r="G23" s="49">
        <f t="shared" si="0"/>
        <v>0.2602</v>
      </c>
    </row>
    <row r="24" spans="1:7" ht="12.75">
      <c r="A24" s="15">
        <v>750</v>
      </c>
      <c r="B24" s="19">
        <v>75011</v>
      </c>
      <c r="C24" s="14" t="s">
        <v>159</v>
      </c>
      <c r="D24" s="18" t="s">
        <v>160</v>
      </c>
      <c r="E24" s="46">
        <v>67800</v>
      </c>
      <c r="F24" s="46">
        <v>36632</v>
      </c>
      <c r="G24" s="49">
        <f t="shared" si="0"/>
        <v>0.5402949852507375</v>
      </c>
    </row>
    <row r="25" spans="1:7" ht="12.75">
      <c r="A25" s="15">
        <v>750</v>
      </c>
      <c r="B25" s="19">
        <f>B24</f>
        <v>75011</v>
      </c>
      <c r="C25" s="21" t="s">
        <v>161</v>
      </c>
      <c r="D25" s="18" t="s">
        <v>162</v>
      </c>
      <c r="E25" s="46">
        <v>0</v>
      </c>
      <c r="F25" s="46">
        <v>3.1</v>
      </c>
      <c r="G25" s="49">
        <v>0</v>
      </c>
    </row>
    <row r="26" spans="1:7" ht="12.75">
      <c r="A26" s="15">
        <v>750</v>
      </c>
      <c r="B26" s="19">
        <v>75023</v>
      </c>
      <c r="C26" s="14" t="s">
        <v>78</v>
      </c>
      <c r="D26" s="16" t="s">
        <v>163</v>
      </c>
      <c r="E26" s="46">
        <v>0</v>
      </c>
      <c r="F26" s="46">
        <v>14.8</v>
      </c>
      <c r="G26" s="49">
        <v>0</v>
      </c>
    </row>
    <row r="27" spans="1:7" ht="12.75">
      <c r="A27" s="15">
        <v>750</v>
      </c>
      <c r="B27" s="19">
        <v>75023</v>
      </c>
      <c r="C27" s="14" t="s">
        <v>73</v>
      </c>
      <c r="D27" s="16" t="s">
        <v>158</v>
      </c>
      <c r="E27" s="46">
        <v>200</v>
      </c>
      <c r="F27" s="46">
        <v>140</v>
      </c>
      <c r="G27" s="49">
        <f t="shared" si="0"/>
        <v>0.7</v>
      </c>
    </row>
    <row r="28" spans="1:7" ht="12.75">
      <c r="A28" s="15">
        <v>750</v>
      </c>
      <c r="B28" s="19">
        <v>75023</v>
      </c>
      <c r="C28" s="14" t="s">
        <v>72</v>
      </c>
      <c r="D28" s="16" t="s">
        <v>164</v>
      </c>
      <c r="E28" s="46">
        <v>500</v>
      </c>
      <c r="F28" s="46">
        <v>1.85</v>
      </c>
      <c r="G28" s="49">
        <f t="shared" si="0"/>
        <v>0.0037</v>
      </c>
    </row>
    <row r="29" spans="1:7" ht="12.75">
      <c r="A29" s="21" t="s">
        <v>19</v>
      </c>
      <c r="B29" s="21" t="s">
        <v>209</v>
      </c>
      <c r="C29" s="15">
        <v>2707</v>
      </c>
      <c r="D29" s="20" t="s">
        <v>221</v>
      </c>
      <c r="E29" s="46">
        <v>3636</v>
      </c>
      <c r="F29" s="46">
        <v>0</v>
      </c>
      <c r="G29" s="49">
        <f t="shared" si="0"/>
        <v>0</v>
      </c>
    </row>
    <row r="30" spans="1:7" ht="12.75">
      <c r="A30" s="21" t="s">
        <v>19</v>
      </c>
      <c r="B30" s="21" t="s">
        <v>209</v>
      </c>
      <c r="C30" s="15">
        <v>2709</v>
      </c>
      <c r="D30" s="20" t="s">
        <v>221</v>
      </c>
      <c r="E30" s="46">
        <v>63603</v>
      </c>
      <c r="F30" s="46">
        <v>0</v>
      </c>
      <c r="G30" s="49">
        <f t="shared" si="0"/>
        <v>0</v>
      </c>
    </row>
    <row r="31" spans="1:7" ht="12.75">
      <c r="A31" s="21" t="s">
        <v>35</v>
      </c>
      <c r="B31" s="21" t="s">
        <v>165</v>
      </c>
      <c r="C31" s="15">
        <v>2010</v>
      </c>
      <c r="D31" s="20" t="s">
        <v>0</v>
      </c>
      <c r="E31" s="46">
        <v>840</v>
      </c>
      <c r="F31" s="46">
        <v>420</v>
      </c>
      <c r="G31" s="49">
        <f t="shared" si="0"/>
        <v>0.5</v>
      </c>
    </row>
    <row r="32" spans="1:7" ht="12.75">
      <c r="A32" s="21" t="s">
        <v>35</v>
      </c>
      <c r="B32" s="21" t="s">
        <v>223</v>
      </c>
      <c r="C32" s="15">
        <v>2010</v>
      </c>
      <c r="D32" s="20" t="s">
        <v>222</v>
      </c>
      <c r="E32" s="46">
        <v>10660</v>
      </c>
      <c r="F32" s="46">
        <v>10660</v>
      </c>
      <c r="G32" s="49">
        <f t="shared" si="0"/>
        <v>1</v>
      </c>
    </row>
    <row r="33" spans="1:7" ht="12.75">
      <c r="A33" s="15">
        <v>754</v>
      </c>
      <c r="B33" s="19">
        <v>75412</v>
      </c>
      <c r="C33" s="14" t="s">
        <v>73</v>
      </c>
      <c r="D33" s="18" t="s">
        <v>224</v>
      </c>
      <c r="E33" s="46">
        <v>4000</v>
      </c>
      <c r="F33" s="46">
        <v>2440</v>
      </c>
      <c r="G33" s="49">
        <f t="shared" si="0"/>
        <v>0.61</v>
      </c>
    </row>
    <row r="34" spans="1:7" ht="12.75">
      <c r="A34" s="15">
        <v>754</v>
      </c>
      <c r="B34" s="19">
        <v>75412</v>
      </c>
      <c r="C34" s="14" t="s">
        <v>166</v>
      </c>
      <c r="D34" s="23" t="s">
        <v>167</v>
      </c>
      <c r="E34" s="46">
        <v>4000</v>
      </c>
      <c r="F34" s="46">
        <v>4000</v>
      </c>
      <c r="G34" s="49">
        <f t="shared" si="0"/>
        <v>1</v>
      </c>
    </row>
    <row r="35" spans="1:7" ht="12.75">
      <c r="A35" s="21" t="s">
        <v>21</v>
      </c>
      <c r="B35" s="21" t="s">
        <v>225</v>
      </c>
      <c r="C35" s="14" t="s">
        <v>198</v>
      </c>
      <c r="D35" s="20" t="s">
        <v>226</v>
      </c>
      <c r="E35" s="46">
        <v>10000</v>
      </c>
      <c r="F35" s="46">
        <v>1800</v>
      </c>
      <c r="G35" s="49">
        <f t="shared" si="0"/>
        <v>0.18</v>
      </c>
    </row>
    <row r="36" spans="1:7" ht="12.75">
      <c r="A36" s="19">
        <v>756</v>
      </c>
      <c r="B36" s="19">
        <v>75601</v>
      </c>
      <c r="C36" s="24" t="s">
        <v>79</v>
      </c>
      <c r="D36" s="18" t="s">
        <v>168</v>
      </c>
      <c r="E36" s="46">
        <v>1000</v>
      </c>
      <c r="F36" s="46">
        <v>-1557.61</v>
      </c>
      <c r="G36" s="49">
        <f t="shared" si="0"/>
        <v>-1.55761</v>
      </c>
    </row>
    <row r="37" spans="1:7" ht="12.75">
      <c r="A37" s="19">
        <f>A36</f>
        <v>756</v>
      </c>
      <c r="B37" s="19">
        <f>B36</f>
        <v>75601</v>
      </c>
      <c r="C37" s="24" t="s">
        <v>80</v>
      </c>
      <c r="D37" s="25" t="s">
        <v>38</v>
      </c>
      <c r="E37" s="46">
        <v>50</v>
      </c>
      <c r="F37" s="46">
        <v>135.4</v>
      </c>
      <c r="G37" s="49">
        <f t="shared" si="0"/>
        <v>2.708</v>
      </c>
    </row>
    <row r="38" spans="1:7" ht="12.75">
      <c r="A38" s="15">
        <v>756</v>
      </c>
      <c r="B38" s="19">
        <v>75615</v>
      </c>
      <c r="C38" s="14" t="s">
        <v>81</v>
      </c>
      <c r="D38" s="25" t="s">
        <v>131</v>
      </c>
      <c r="E38" s="46">
        <v>13507215</v>
      </c>
      <c r="F38" s="46">
        <v>12966841.7</v>
      </c>
      <c r="G38" s="49">
        <f t="shared" si="0"/>
        <v>0.9599937292772788</v>
      </c>
    </row>
    <row r="39" spans="1:7" ht="12.75">
      <c r="A39" s="15">
        <f aca="true" t="shared" si="1" ref="A39:B42">A38</f>
        <v>756</v>
      </c>
      <c r="B39" s="19">
        <f t="shared" si="1"/>
        <v>75615</v>
      </c>
      <c r="C39" s="14" t="s">
        <v>82</v>
      </c>
      <c r="D39" s="25" t="s">
        <v>130</v>
      </c>
      <c r="E39" s="46">
        <v>30000</v>
      </c>
      <c r="F39" s="46">
        <v>13196.6</v>
      </c>
      <c r="G39" s="49">
        <f t="shared" si="0"/>
        <v>0.4398866666666667</v>
      </c>
    </row>
    <row r="40" spans="1:7" ht="12.75">
      <c r="A40" s="15">
        <f t="shared" si="1"/>
        <v>756</v>
      </c>
      <c r="B40" s="19">
        <f t="shared" si="1"/>
        <v>75615</v>
      </c>
      <c r="C40" s="14" t="s">
        <v>83</v>
      </c>
      <c r="D40" s="25" t="s">
        <v>169</v>
      </c>
      <c r="E40" s="46">
        <v>155000</v>
      </c>
      <c r="F40" s="46">
        <v>79321</v>
      </c>
      <c r="G40" s="49">
        <f t="shared" si="0"/>
        <v>0.5117483870967742</v>
      </c>
    </row>
    <row r="41" spans="1:7" ht="12.75">
      <c r="A41" s="15">
        <f t="shared" si="1"/>
        <v>756</v>
      </c>
      <c r="B41" s="19">
        <f t="shared" si="1"/>
        <v>75615</v>
      </c>
      <c r="C41" s="14" t="s">
        <v>88</v>
      </c>
      <c r="D41" s="25" t="s">
        <v>113</v>
      </c>
      <c r="E41" s="46">
        <v>40000</v>
      </c>
      <c r="F41" s="46">
        <v>0</v>
      </c>
      <c r="G41" s="49">
        <f t="shared" si="0"/>
        <v>0</v>
      </c>
    </row>
    <row r="42" spans="1:7" ht="12.75">
      <c r="A42" s="15">
        <f t="shared" si="1"/>
        <v>756</v>
      </c>
      <c r="B42" s="19">
        <f t="shared" si="1"/>
        <v>75615</v>
      </c>
      <c r="C42" s="14" t="s">
        <v>80</v>
      </c>
      <c r="D42" s="25" t="s">
        <v>38</v>
      </c>
      <c r="E42" s="46">
        <v>8661669</v>
      </c>
      <c r="F42" s="46">
        <v>8658462.7</v>
      </c>
      <c r="G42" s="49">
        <f t="shared" si="0"/>
        <v>0.9996298288470732</v>
      </c>
    </row>
    <row r="43" spans="1:7" ht="12.75">
      <c r="A43" s="15">
        <f>A42</f>
        <v>756</v>
      </c>
      <c r="B43" s="19">
        <v>75616</v>
      </c>
      <c r="C43" s="14" t="s">
        <v>81</v>
      </c>
      <c r="D43" s="25" t="s">
        <v>131</v>
      </c>
      <c r="E43" s="46">
        <v>470000</v>
      </c>
      <c r="F43" s="46">
        <v>304889.9</v>
      </c>
      <c r="G43" s="49">
        <f t="shared" si="0"/>
        <v>0.6487019148936171</v>
      </c>
    </row>
    <row r="44" spans="1:7" ht="12.75">
      <c r="A44" s="15">
        <f>A43</f>
        <v>756</v>
      </c>
      <c r="B44" s="19">
        <f>B43</f>
        <v>75616</v>
      </c>
      <c r="C44" s="14" t="s">
        <v>82</v>
      </c>
      <c r="D44" s="25" t="s">
        <v>130</v>
      </c>
      <c r="E44" s="46">
        <v>220000</v>
      </c>
      <c r="F44" s="46">
        <v>119615.28</v>
      </c>
      <c r="G44" s="49">
        <f t="shared" si="0"/>
        <v>0.5437058181818182</v>
      </c>
    </row>
    <row r="45" spans="1:7" ht="12.75">
      <c r="A45" s="15">
        <f>A44</f>
        <v>756</v>
      </c>
      <c r="B45" s="19">
        <f>B44</f>
        <v>75616</v>
      </c>
      <c r="C45" s="14" t="s">
        <v>83</v>
      </c>
      <c r="D45" s="25" t="s">
        <v>169</v>
      </c>
      <c r="E45" s="46">
        <v>1000</v>
      </c>
      <c r="F45" s="46">
        <v>620.8</v>
      </c>
      <c r="G45" s="49">
        <f t="shared" si="0"/>
        <v>0.6207999999999999</v>
      </c>
    </row>
    <row r="46" spans="1:7" ht="12.75">
      <c r="A46" s="15">
        <f>A44</f>
        <v>756</v>
      </c>
      <c r="B46" s="19">
        <f>B44</f>
        <v>75616</v>
      </c>
      <c r="C46" s="14" t="s">
        <v>84</v>
      </c>
      <c r="D46" s="25" t="s">
        <v>132</v>
      </c>
      <c r="E46" s="46">
        <v>15000</v>
      </c>
      <c r="F46" s="46">
        <v>11805.54</v>
      </c>
      <c r="G46" s="49">
        <f t="shared" si="0"/>
        <v>0.7870360000000001</v>
      </c>
    </row>
    <row r="47" spans="1:7" ht="12.75">
      <c r="A47" s="15">
        <f>A45</f>
        <v>756</v>
      </c>
      <c r="B47" s="19">
        <f>B45</f>
        <v>75616</v>
      </c>
      <c r="C47" s="14" t="s">
        <v>85</v>
      </c>
      <c r="D47" s="25" t="s">
        <v>133</v>
      </c>
      <c r="E47" s="46">
        <v>500</v>
      </c>
      <c r="F47" s="46">
        <v>8071</v>
      </c>
      <c r="G47" s="49">
        <f t="shared" si="0"/>
        <v>16.142</v>
      </c>
    </row>
    <row r="48" spans="1:7" ht="12.75">
      <c r="A48" s="15">
        <f aca="true" t="shared" si="2" ref="A48:B51">A47</f>
        <v>756</v>
      </c>
      <c r="B48" s="19">
        <f t="shared" si="2"/>
        <v>75616</v>
      </c>
      <c r="C48" s="14" t="s">
        <v>86</v>
      </c>
      <c r="D48" s="25" t="s">
        <v>4</v>
      </c>
      <c r="E48" s="46">
        <v>10000</v>
      </c>
      <c r="F48" s="46">
        <v>6447.4</v>
      </c>
      <c r="G48" s="49">
        <f t="shared" si="0"/>
        <v>0.64474</v>
      </c>
    </row>
    <row r="49" spans="1:7" ht="12.75">
      <c r="A49" s="15">
        <f t="shared" si="2"/>
        <v>756</v>
      </c>
      <c r="B49" s="19">
        <f t="shared" si="2"/>
        <v>75616</v>
      </c>
      <c r="C49" s="14" t="s">
        <v>87</v>
      </c>
      <c r="D49" s="25" t="s">
        <v>43</v>
      </c>
      <c r="E49" s="46">
        <v>1500</v>
      </c>
      <c r="F49" s="46">
        <v>372.5</v>
      </c>
      <c r="G49" s="49">
        <f t="shared" si="0"/>
        <v>0.24833333333333332</v>
      </c>
    </row>
    <row r="50" spans="1:7" ht="12.75">
      <c r="A50" s="15">
        <f t="shared" si="2"/>
        <v>756</v>
      </c>
      <c r="B50" s="19">
        <f t="shared" si="2"/>
        <v>75616</v>
      </c>
      <c r="C50" s="14" t="s">
        <v>88</v>
      </c>
      <c r="D50" s="25" t="s">
        <v>113</v>
      </c>
      <c r="E50" s="46">
        <v>0</v>
      </c>
      <c r="F50" s="46">
        <v>36461</v>
      </c>
      <c r="G50" s="49"/>
    </row>
    <row r="51" spans="1:7" ht="12.75">
      <c r="A51" s="15">
        <f t="shared" si="2"/>
        <v>756</v>
      </c>
      <c r="B51" s="19">
        <f t="shared" si="2"/>
        <v>75616</v>
      </c>
      <c r="C51" s="14" t="s">
        <v>80</v>
      </c>
      <c r="D51" s="25" t="s">
        <v>38</v>
      </c>
      <c r="E51" s="46">
        <v>10000</v>
      </c>
      <c r="F51" s="46">
        <v>6328.11</v>
      </c>
      <c r="G51" s="49">
        <f t="shared" si="0"/>
        <v>0.632811</v>
      </c>
    </row>
    <row r="52" spans="1:7" ht="12.75">
      <c r="A52" s="15">
        <f>A51</f>
        <v>756</v>
      </c>
      <c r="B52" s="19">
        <v>75618</v>
      </c>
      <c r="C52" s="14" t="s">
        <v>89</v>
      </c>
      <c r="D52" s="25" t="s">
        <v>69</v>
      </c>
      <c r="E52" s="46">
        <v>15000</v>
      </c>
      <c r="F52" s="46">
        <v>7610</v>
      </c>
      <c r="G52" s="49">
        <f t="shared" si="0"/>
        <v>0.5073333333333333</v>
      </c>
    </row>
    <row r="53" spans="1:7" ht="12.75">
      <c r="A53" s="15">
        <f>A52</f>
        <v>756</v>
      </c>
      <c r="B53" s="19">
        <f>B52</f>
        <v>75618</v>
      </c>
      <c r="C53" s="14" t="s">
        <v>90</v>
      </c>
      <c r="D53" s="25" t="s">
        <v>170</v>
      </c>
      <c r="E53" s="46">
        <v>64000</v>
      </c>
      <c r="F53" s="46">
        <v>56733.3</v>
      </c>
      <c r="G53" s="49">
        <f t="shared" si="0"/>
        <v>0.8864578125</v>
      </c>
    </row>
    <row r="54" spans="1:7" ht="12.75" customHeight="1">
      <c r="A54" s="15">
        <f>A53</f>
        <v>756</v>
      </c>
      <c r="B54" s="19">
        <f>B53</f>
        <v>75618</v>
      </c>
      <c r="C54" s="14" t="s">
        <v>134</v>
      </c>
      <c r="D54" s="18" t="s">
        <v>171</v>
      </c>
      <c r="E54" s="46">
        <v>68000</v>
      </c>
      <c r="F54" s="46">
        <v>9655.17</v>
      </c>
      <c r="G54" s="49">
        <f t="shared" si="0"/>
        <v>0.14198779411764706</v>
      </c>
    </row>
    <row r="55" spans="1:7" ht="12.75">
      <c r="A55" s="15">
        <f>A53</f>
        <v>756</v>
      </c>
      <c r="B55" s="19">
        <v>75621</v>
      </c>
      <c r="C55" s="14" t="s">
        <v>91</v>
      </c>
      <c r="D55" s="25" t="s">
        <v>41</v>
      </c>
      <c r="E55" s="46">
        <v>1353214</v>
      </c>
      <c r="F55" s="46">
        <v>546876</v>
      </c>
      <c r="G55" s="49">
        <f t="shared" si="0"/>
        <v>0.4041312017168016</v>
      </c>
    </row>
    <row r="56" spans="1:7" ht="12.75">
      <c r="A56" s="15">
        <f>A55</f>
        <v>756</v>
      </c>
      <c r="B56" s="19">
        <v>75621</v>
      </c>
      <c r="C56" s="14" t="s">
        <v>92</v>
      </c>
      <c r="D56" s="25" t="s">
        <v>42</v>
      </c>
      <c r="E56" s="46">
        <v>70000</v>
      </c>
      <c r="F56" s="46">
        <v>57994.7</v>
      </c>
      <c r="G56" s="49">
        <f t="shared" si="0"/>
        <v>0.8284957142857142</v>
      </c>
    </row>
    <row r="57" spans="1:7" ht="25.5">
      <c r="A57" s="15">
        <v>756</v>
      </c>
      <c r="B57" s="19">
        <v>75647</v>
      </c>
      <c r="C57" s="14" t="s">
        <v>72</v>
      </c>
      <c r="D57" s="26" t="s">
        <v>237</v>
      </c>
      <c r="E57" s="46">
        <v>150</v>
      </c>
      <c r="F57" s="46">
        <v>223.61</v>
      </c>
      <c r="G57" s="49">
        <f t="shared" si="0"/>
        <v>1.4907333333333335</v>
      </c>
    </row>
    <row r="58" spans="1:7" ht="12.75">
      <c r="A58" s="15">
        <v>758</v>
      </c>
      <c r="B58" s="19">
        <v>75801</v>
      </c>
      <c r="C58" s="15">
        <v>2920</v>
      </c>
      <c r="D58" s="27" t="s">
        <v>172</v>
      </c>
      <c r="E58" s="46">
        <v>3264447</v>
      </c>
      <c r="F58" s="46">
        <v>2008888</v>
      </c>
      <c r="G58" s="49">
        <f t="shared" si="0"/>
        <v>0.6153838613400677</v>
      </c>
    </row>
    <row r="59" spans="1:7" ht="12.75">
      <c r="A59" s="15">
        <v>758</v>
      </c>
      <c r="B59" s="19">
        <v>75814</v>
      </c>
      <c r="C59" s="14" t="s">
        <v>77</v>
      </c>
      <c r="D59" s="25" t="s">
        <v>173</v>
      </c>
      <c r="E59" s="46">
        <v>900000</v>
      </c>
      <c r="F59" s="46">
        <v>302069.59</v>
      </c>
      <c r="G59" s="49">
        <f t="shared" si="0"/>
        <v>0.3356328777777778</v>
      </c>
    </row>
    <row r="60" spans="1:7" ht="12.75">
      <c r="A60" s="15">
        <v>758</v>
      </c>
      <c r="B60" s="19">
        <v>75831</v>
      </c>
      <c r="C60" s="15">
        <v>2920</v>
      </c>
      <c r="D60" s="25" t="s">
        <v>174</v>
      </c>
      <c r="E60" s="46">
        <v>1772</v>
      </c>
      <c r="F60" s="46">
        <v>888</v>
      </c>
      <c r="G60" s="49">
        <f t="shared" si="0"/>
        <v>0.5011286681715575</v>
      </c>
    </row>
    <row r="61" spans="1:7" ht="12.75">
      <c r="A61" s="15">
        <v>801</v>
      </c>
      <c r="B61" s="19">
        <v>80101</v>
      </c>
      <c r="C61" s="14" t="s">
        <v>78</v>
      </c>
      <c r="D61" s="25" t="s">
        <v>264</v>
      </c>
      <c r="E61" s="46">
        <v>0</v>
      </c>
      <c r="F61" s="46">
        <v>44</v>
      </c>
      <c r="G61" s="49"/>
    </row>
    <row r="62" spans="1:7" ht="12.75">
      <c r="A62" s="15">
        <v>801</v>
      </c>
      <c r="B62" s="19">
        <v>80101</v>
      </c>
      <c r="C62" s="14" t="s">
        <v>75</v>
      </c>
      <c r="D62" s="25" t="s">
        <v>265</v>
      </c>
      <c r="E62" s="46">
        <v>0</v>
      </c>
      <c r="F62" s="46">
        <v>1294.4</v>
      </c>
      <c r="G62" s="49"/>
    </row>
    <row r="63" spans="1:7" ht="12.75">
      <c r="A63" s="15">
        <v>801</v>
      </c>
      <c r="B63" s="19">
        <v>80101</v>
      </c>
      <c r="C63" s="14" t="s">
        <v>77</v>
      </c>
      <c r="D63" s="25" t="s">
        <v>175</v>
      </c>
      <c r="E63" s="46">
        <v>0</v>
      </c>
      <c r="F63" s="46">
        <v>1.51</v>
      </c>
      <c r="G63" s="49"/>
    </row>
    <row r="64" spans="1:7" ht="12.75">
      <c r="A64" s="15">
        <v>801</v>
      </c>
      <c r="B64" s="19">
        <v>80101</v>
      </c>
      <c r="C64" s="14" t="s">
        <v>72</v>
      </c>
      <c r="D64" s="25" t="s">
        <v>266</v>
      </c>
      <c r="E64" s="46">
        <v>0</v>
      </c>
      <c r="F64" s="46">
        <v>50</v>
      </c>
      <c r="G64" s="49"/>
    </row>
    <row r="65" spans="1:7" ht="12.75">
      <c r="A65" s="15">
        <v>801</v>
      </c>
      <c r="B65" s="19">
        <v>80104</v>
      </c>
      <c r="C65" s="14" t="s">
        <v>78</v>
      </c>
      <c r="D65" s="25" t="s">
        <v>227</v>
      </c>
      <c r="E65" s="46">
        <v>65000</v>
      </c>
      <c r="F65" s="46">
        <v>44655</v>
      </c>
      <c r="G65" s="49">
        <f t="shared" si="0"/>
        <v>0.687</v>
      </c>
    </row>
    <row r="66" spans="1:7" ht="12.75">
      <c r="A66" s="15">
        <v>801</v>
      </c>
      <c r="B66" s="19">
        <v>80110</v>
      </c>
      <c r="C66" s="14" t="s">
        <v>77</v>
      </c>
      <c r="D66" s="25" t="s">
        <v>175</v>
      </c>
      <c r="E66" s="46"/>
      <c r="F66" s="46">
        <v>0.54</v>
      </c>
      <c r="G66" s="49"/>
    </row>
    <row r="67" spans="1:7" ht="12.75">
      <c r="A67" s="15">
        <v>801</v>
      </c>
      <c r="B67" s="21" t="s">
        <v>267</v>
      </c>
      <c r="C67" s="14" t="s">
        <v>166</v>
      </c>
      <c r="D67" s="18" t="s">
        <v>268</v>
      </c>
      <c r="E67" s="46">
        <v>0</v>
      </c>
      <c r="F67" s="46">
        <v>3000</v>
      </c>
      <c r="G67" s="49"/>
    </row>
    <row r="68" spans="1:7" ht="12.75">
      <c r="A68" s="15">
        <v>801</v>
      </c>
      <c r="B68" s="21" t="s">
        <v>204</v>
      </c>
      <c r="C68" s="14" t="s">
        <v>73</v>
      </c>
      <c r="D68" s="18" t="s">
        <v>271</v>
      </c>
      <c r="E68" s="46">
        <v>0</v>
      </c>
      <c r="F68" s="46">
        <v>7389.2</v>
      </c>
      <c r="G68" s="49"/>
    </row>
    <row r="69" spans="1:7" ht="12.75">
      <c r="A69" s="15">
        <v>851</v>
      </c>
      <c r="B69" s="21" t="s">
        <v>193</v>
      </c>
      <c r="C69" s="14" t="s">
        <v>75</v>
      </c>
      <c r="D69" s="18" t="s">
        <v>176</v>
      </c>
      <c r="E69" s="46">
        <v>20000</v>
      </c>
      <c r="F69" s="46">
        <v>7103.03</v>
      </c>
      <c r="G69" s="49">
        <f t="shared" si="0"/>
        <v>0.3551515</v>
      </c>
    </row>
    <row r="70" spans="1:7" ht="12.75">
      <c r="A70" s="15">
        <v>851</v>
      </c>
      <c r="B70" s="21" t="s">
        <v>193</v>
      </c>
      <c r="C70" s="14" t="s">
        <v>77</v>
      </c>
      <c r="D70" s="18" t="s">
        <v>177</v>
      </c>
      <c r="E70" s="46">
        <v>30</v>
      </c>
      <c r="F70" s="46">
        <v>35.7</v>
      </c>
      <c r="G70" s="49">
        <f t="shared" si="0"/>
        <v>1.1900000000000002</v>
      </c>
    </row>
    <row r="71" spans="1:7" ht="12.75">
      <c r="A71" s="15">
        <v>852</v>
      </c>
      <c r="B71" s="19">
        <v>85212</v>
      </c>
      <c r="C71" s="14" t="s">
        <v>78</v>
      </c>
      <c r="D71" s="25" t="s">
        <v>269</v>
      </c>
      <c r="E71" s="46">
        <v>0</v>
      </c>
      <c r="F71" s="46">
        <v>17.6</v>
      </c>
      <c r="G71" s="49"/>
    </row>
    <row r="72" spans="1:7" ht="25.5">
      <c r="A72" s="15">
        <v>852</v>
      </c>
      <c r="B72" s="19">
        <v>85212</v>
      </c>
      <c r="C72" s="19">
        <v>2010</v>
      </c>
      <c r="D72" s="18" t="s">
        <v>178</v>
      </c>
      <c r="E72" s="46">
        <v>1824000</v>
      </c>
      <c r="F72" s="46">
        <v>957234</v>
      </c>
      <c r="G72" s="49">
        <f t="shared" si="0"/>
        <v>0.5247993421052631</v>
      </c>
    </row>
    <row r="73" spans="1:7" ht="12.75">
      <c r="A73" s="15">
        <v>852</v>
      </c>
      <c r="B73" s="21" t="s">
        <v>179</v>
      </c>
      <c r="C73" s="21" t="s">
        <v>161</v>
      </c>
      <c r="D73" s="18" t="s">
        <v>180</v>
      </c>
      <c r="E73" s="46">
        <v>10000</v>
      </c>
      <c r="F73" s="46">
        <v>8676.16</v>
      </c>
      <c r="G73" s="49">
        <f t="shared" si="0"/>
        <v>0.8676159999999999</v>
      </c>
    </row>
    <row r="74" spans="1:7" ht="12.75" customHeight="1">
      <c r="A74" s="15">
        <f>A72</f>
        <v>852</v>
      </c>
      <c r="B74" s="21" t="s">
        <v>181</v>
      </c>
      <c r="C74" s="19">
        <v>2010</v>
      </c>
      <c r="D74" s="18" t="s">
        <v>228</v>
      </c>
      <c r="E74" s="46">
        <v>9200</v>
      </c>
      <c r="F74" s="46">
        <v>4618</v>
      </c>
      <c r="G74" s="49">
        <f t="shared" si="0"/>
        <v>0.5019565217391304</v>
      </c>
    </row>
    <row r="75" spans="1:7" ht="12.75">
      <c r="A75" s="15">
        <f>A74</f>
        <v>852</v>
      </c>
      <c r="B75" s="19">
        <v>85213</v>
      </c>
      <c r="C75" s="19">
        <v>2030</v>
      </c>
      <c r="D75" s="18" t="s">
        <v>229</v>
      </c>
      <c r="E75" s="46">
        <v>26000</v>
      </c>
      <c r="F75" s="46">
        <v>12719</v>
      </c>
      <c r="G75" s="49">
        <f t="shared" si="0"/>
        <v>0.4891923076923077</v>
      </c>
    </row>
    <row r="76" spans="1:7" ht="12.75">
      <c r="A76" s="15">
        <f>A75</f>
        <v>852</v>
      </c>
      <c r="B76" s="19">
        <v>85214</v>
      </c>
      <c r="C76" s="19">
        <v>2030</v>
      </c>
      <c r="D76" s="18" t="s">
        <v>182</v>
      </c>
      <c r="E76" s="46">
        <v>113000</v>
      </c>
      <c r="F76" s="46">
        <v>64068</v>
      </c>
      <c r="G76" s="49">
        <f t="shared" si="0"/>
        <v>0.5669734513274336</v>
      </c>
    </row>
    <row r="77" spans="1:7" ht="12.75">
      <c r="A77" s="15">
        <v>852</v>
      </c>
      <c r="B77" s="19">
        <v>85216</v>
      </c>
      <c r="C77" s="14">
        <v>2030</v>
      </c>
      <c r="D77" s="25" t="s">
        <v>230</v>
      </c>
      <c r="E77" s="46">
        <v>236000</v>
      </c>
      <c r="F77" s="46">
        <v>129260</v>
      </c>
      <c r="G77" s="49">
        <f t="shared" si="0"/>
        <v>0.5477118644067797</v>
      </c>
    </row>
    <row r="78" spans="1:7" ht="12.75">
      <c r="A78" s="15">
        <v>852</v>
      </c>
      <c r="B78" s="19">
        <v>85219</v>
      </c>
      <c r="C78" s="14" t="s">
        <v>77</v>
      </c>
      <c r="D78" s="25" t="s">
        <v>270</v>
      </c>
      <c r="E78" s="46">
        <v>0</v>
      </c>
      <c r="F78" s="46">
        <v>444.58</v>
      </c>
      <c r="G78" s="49">
        <v>0</v>
      </c>
    </row>
    <row r="79" spans="1:7" ht="12.75">
      <c r="A79" s="15">
        <f>A76</f>
        <v>852</v>
      </c>
      <c r="B79" s="19">
        <v>85219</v>
      </c>
      <c r="C79" s="19">
        <v>2030</v>
      </c>
      <c r="D79" s="18" t="s">
        <v>183</v>
      </c>
      <c r="E79" s="46">
        <v>106000</v>
      </c>
      <c r="F79" s="46">
        <v>54298</v>
      </c>
      <c r="G79" s="49">
        <f aca="true" t="shared" si="3" ref="G79:G117">F79/E79</f>
        <v>0.512245283018868</v>
      </c>
    </row>
    <row r="80" spans="1:7" ht="12.75">
      <c r="A80" s="15">
        <f>A79</f>
        <v>852</v>
      </c>
      <c r="B80" s="19">
        <v>85228</v>
      </c>
      <c r="C80" s="28" t="s">
        <v>73</v>
      </c>
      <c r="D80" s="18" t="s">
        <v>184</v>
      </c>
      <c r="E80" s="46">
        <v>10000</v>
      </c>
      <c r="F80" s="46">
        <v>9910.77</v>
      </c>
      <c r="G80" s="49">
        <f t="shared" si="3"/>
        <v>0.9910770000000001</v>
      </c>
    </row>
    <row r="81" spans="1:7" ht="12.75">
      <c r="A81" s="15">
        <v>852</v>
      </c>
      <c r="B81" s="19">
        <v>85228</v>
      </c>
      <c r="C81" s="14" t="s">
        <v>77</v>
      </c>
      <c r="D81" s="25" t="s">
        <v>185</v>
      </c>
      <c r="E81" s="46">
        <v>20</v>
      </c>
      <c r="F81" s="46">
        <v>112.9</v>
      </c>
      <c r="G81" s="49">
        <f t="shared" si="3"/>
        <v>5.6450000000000005</v>
      </c>
    </row>
    <row r="82" spans="1:7" ht="12.75">
      <c r="A82" s="15">
        <f>A80</f>
        <v>852</v>
      </c>
      <c r="B82" s="21" t="s">
        <v>135</v>
      </c>
      <c r="C82" s="19">
        <v>2030</v>
      </c>
      <c r="D82" s="29" t="s">
        <v>186</v>
      </c>
      <c r="E82" s="46">
        <v>104430</v>
      </c>
      <c r="F82" s="46">
        <v>78084</v>
      </c>
      <c r="G82" s="49">
        <f t="shared" si="3"/>
        <v>0.7477161735133583</v>
      </c>
    </row>
    <row r="83" spans="1:7" ht="12.75">
      <c r="A83" s="15">
        <v>853</v>
      </c>
      <c r="B83" s="19">
        <v>85395</v>
      </c>
      <c r="C83" s="14">
        <v>2327</v>
      </c>
      <c r="D83" s="25" t="s">
        <v>187</v>
      </c>
      <c r="E83" s="46">
        <v>99618</v>
      </c>
      <c r="F83" s="46">
        <v>36301.22</v>
      </c>
      <c r="G83" s="49">
        <f t="shared" si="3"/>
        <v>0.36440422413620027</v>
      </c>
    </row>
    <row r="84" spans="1:7" ht="12.75">
      <c r="A84" s="15">
        <v>853</v>
      </c>
      <c r="B84" s="19">
        <v>85395</v>
      </c>
      <c r="C84" s="14">
        <v>2328</v>
      </c>
      <c r="D84" s="25" t="s">
        <v>188</v>
      </c>
      <c r="E84" s="46">
        <v>5860</v>
      </c>
      <c r="F84" s="46">
        <v>2137.18</v>
      </c>
      <c r="G84" s="49">
        <f t="shared" si="3"/>
        <v>0.3647064846416382</v>
      </c>
    </row>
    <row r="85" spans="1:7" ht="12.75">
      <c r="A85" s="15">
        <v>853</v>
      </c>
      <c r="B85" s="19">
        <v>85395</v>
      </c>
      <c r="C85" s="14">
        <v>2707</v>
      </c>
      <c r="D85" s="25" t="s">
        <v>232</v>
      </c>
      <c r="E85" s="46">
        <v>163787.35</v>
      </c>
      <c r="F85" s="46">
        <v>121289.9</v>
      </c>
      <c r="G85" s="49">
        <f t="shared" si="3"/>
        <v>0.7405327700826712</v>
      </c>
    </row>
    <row r="86" spans="1:7" ht="12.75">
      <c r="A86" s="15">
        <v>853</v>
      </c>
      <c r="B86" s="19">
        <v>85395</v>
      </c>
      <c r="C86" s="14">
        <v>2709</v>
      </c>
      <c r="D86" s="25" t="s">
        <v>231</v>
      </c>
      <c r="E86" s="46">
        <v>28903.65</v>
      </c>
      <c r="F86" s="46">
        <v>21404.1</v>
      </c>
      <c r="G86" s="49">
        <f t="shared" si="3"/>
        <v>0.7405327700826712</v>
      </c>
    </row>
    <row r="87" spans="1:7" ht="12.75">
      <c r="A87" s="15">
        <v>854</v>
      </c>
      <c r="B87" s="19">
        <v>85415</v>
      </c>
      <c r="C87" s="19">
        <v>2030</v>
      </c>
      <c r="D87" s="18" t="s">
        <v>189</v>
      </c>
      <c r="E87" s="46">
        <v>54668</v>
      </c>
      <c r="F87" s="46">
        <v>54668</v>
      </c>
      <c r="G87" s="49">
        <f t="shared" si="3"/>
        <v>1</v>
      </c>
    </row>
    <row r="88" spans="1:7" ht="12.75">
      <c r="A88" s="15">
        <v>900</v>
      </c>
      <c r="B88" s="21" t="s">
        <v>45</v>
      </c>
      <c r="C88" s="14" t="s">
        <v>75</v>
      </c>
      <c r="D88" s="18" t="s">
        <v>190</v>
      </c>
      <c r="E88" s="46">
        <v>500</v>
      </c>
      <c r="F88" s="46">
        <v>247.93</v>
      </c>
      <c r="G88" s="49">
        <f t="shared" si="3"/>
        <v>0.49586</v>
      </c>
    </row>
    <row r="89" spans="1:7" ht="12.75">
      <c r="A89" s="15">
        <v>900</v>
      </c>
      <c r="B89" s="19">
        <v>90001</v>
      </c>
      <c r="C89" s="14" t="s">
        <v>77</v>
      </c>
      <c r="D89" s="25" t="s">
        <v>191</v>
      </c>
      <c r="E89" s="46">
        <v>800</v>
      </c>
      <c r="F89" s="46">
        <v>747.23</v>
      </c>
      <c r="G89" s="49">
        <f t="shared" si="3"/>
        <v>0.9340375000000001</v>
      </c>
    </row>
    <row r="90" spans="1:7" ht="12.75">
      <c r="A90" s="15">
        <v>900</v>
      </c>
      <c r="B90" s="19">
        <v>90001</v>
      </c>
      <c r="C90" s="24" t="s">
        <v>72</v>
      </c>
      <c r="D90" s="29" t="s">
        <v>245</v>
      </c>
      <c r="E90" s="46">
        <v>70000</v>
      </c>
      <c r="F90" s="46">
        <v>60946.9</v>
      </c>
      <c r="G90" s="49">
        <f t="shared" si="3"/>
        <v>0.87067</v>
      </c>
    </row>
    <row r="91" spans="1:7" ht="12.75">
      <c r="A91" s="15">
        <v>900</v>
      </c>
      <c r="B91" s="19">
        <v>90002</v>
      </c>
      <c r="C91" s="19">
        <v>2440</v>
      </c>
      <c r="D91" s="29" t="s">
        <v>192</v>
      </c>
      <c r="E91" s="46">
        <v>400000</v>
      </c>
      <c r="F91" s="46">
        <v>65193.22</v>
      </c>
      <c r="G91" s="49">
        <f t="shared" si="3"/>
        <v>0.16298305</v>
      </c>
    </row>
    <row r="92" spans="1:7" ht="12.75">
      <c r="A92" s="15">
        <v>900</v>
      </c>
      <c r="B92" s="19">
        <v>90003</v>
      </c>
      <c r="C92" s="24" t="s">
        <v>72</v>
      </c>
      <c r="D92" s="29" t="s">
        <v>1</v>
      </c>
      <c r="E92" s="46">
        <v>218</v>
      </c>
      <c r="F92" s="46">
        <v>218</v>
      </c>
      <c r="G92" s="49">
        <f t="shared" si="3"/>
        <v>1</v>
      </c>
    </row>
    <row r="93" spans="1:7" ht="12.75">
      <c r="A93" s="15">
        <v>900</v>
      </c>
      <c r="B93" s="19">
        <v>90011</v>
      </c>
      <c r="C93" s="24" t="s">
        <v>78</v>
      </c>
      <c r="D93" s="29" t="s">
        <v>234</v>
      </c>
      <c r="E93" s="46">
        <v>8000</v>
      </c>
      <c r="F93" s="46">
        <v>2614.14</v>
      </c>
      <c r="G93" s="49">
        <f t="shared" si="3"/>
        <v>0.3267675</v>
      </c>
    </row>
    <row r="94" spans="1:7" ht="12.75">
      <c r="A94" s="15">
        <v>900</v>
      </c>
      <c r="B94" s="19">
        <v>90011</v>
      </c>
      <c r="C94" s="24" t="s">
        <v>77</v>
      </c>
      <c r="D94" s="29" t="s">
        <v>235</v>
      </c>
      <c r="E94" s="46">
        <v>50</v>
      </c>
      <c r="F94" s="46">
        <v>7.83</v>
      </c>
      <c r="G94" s="49">
        <f t="shared" si="3"/>
        <v>0.1566</v>
      </c>
    </row>
    <row r="95" spans="1:7" ht="12.75">
      <c r="A95" s="15">
        <v>921</v>
      </c>
      <c r="B95" s="19">
        <v>90011</v>
      </c>
      <c r="C95" s="24" t="s">
        <v>72</v>
      </c>
      <c r="D95" s="29" t="s">
        <v>233</v>
      </c>
      <c r="E95" s="46">
        <v>38245.03</v>
      </c>
      <c r="F95" s="46">
        <v>38245.03</v>
      </c>
      <c r="G95" s="49">
        <f t="shared" si="3"/>
        <v>1</v>
      </c>
    </row>
    <row r="96" spans="1:7" ht="12.75">
      <c r="A96" s="15">
        <v>900</v>
      </c>
      <c r="B96" s="19">
        <v>90020</v>
      </c>
      <c r="C96" s="24" t="s">
        <v>93</v>
      </c>
      <c r="D96" s="29" t="s">
        <v>2</v>
      </c>
      <c r="E96" s="46">
        <v>50</v>
      </c>
      <c r="F96" s="46">
        <v>0</v>
      </c>
      <c r="G96" s="49">
        <f t="shared" si="3"/>
        <v>0</v>
      </c>
    </row>
    <row r="97" spans="1:7" ht="12.75">
      <c r="A97" s="15">
        <v>921</v>
      </c>
      <c r="B97" s="19">
        <v>92109</v>
      </c>
      <c r="C97" s="24" t="s">
        <v>72</v>
      </c>
      <c r="D97" s="29" t="s">
        <v>236</v>
      </c>
      <c r="E97" s="46">
        <v>312000</v>
      </c>
      <c r="F97" s="46">
        <v>0</v>
      </c>
      <c r="G97" s="49">
        <f t="shared" si="3"/>
        <v>0</v>
      </c>
    </row>
    <row r="98" spans="1:7" ht="12.75">
      <c r="A98" s="30"/>
      <c r="B98" s="31"/>
      <c r="C98" s="31"/>
      <c r="D98" s="32" t="s">
        <v>251</v>
      </c>
      <c r="E98" s="50">
        <f>SUM(E8:E97)</f>
        <v>33146033.330000002</v>
      </c>
      <c r="F98" s="50">
        <f>SUM(F8:F97)</f>
        <v>27305105.199999988</v>
      </c>
      <c r="G98" s="51">
        <f>F98/E98</f>
        <v>0.8237819870677112</v>
      </c>
    </row>
    <row r="99" spans="1:7" ht="12.75">
      <c r="A99" s="14" t="s">
        <v>114</v>
      </c>
      <c r="B99" s="14" t="s">
        <v>115</v>
      </c>
      <c r="C99" s="15">
        <v>6298</v>
      </c>
      <c r="D99" s="16" t="s">
        <v>144</v>
      </c>
      <c r="E99" s="46">
        <v>727059</v>
      </c>
      <c r="F99" s="46">
        <v>0</v>
      </c>
      <c r="G99" s="49">
        <f t="shared" si="3"/>
        <v>0</v>
      </c>
    </row>
    <row r="100" spans="1:7" ht="12.75">
      <c r="A100" s="14" t="s">
        <v>114</v>
      </c>
      <c r="B100" s="17" t="s">
        <v>115</v>
      </c>
      <c r="C100" s="14">
        <v>6299</v>
      </c>
      <c r="D100" s="18" t="s">
        <v>145</v>
      </c>
      <c r="E100" s="46">
        <v>242353</v>
      </c>
      <c r="F100" s="46">
        <v>0</v>
      </c>
      <c r="G100" s="49">
        <f t="shared" si="3"/>
        <v>0</v>
      </c>
    </row>
    <row r="101" spans="1:7" ht="25.5">
      <c r="A101" s="15">
        <v>600</v>
      </c>
      <c r="B101" s="19">
        <v>60016</v>
      </c>
      <c r="C101" s="14">
        <v>6290</v>
      </c>
      <c r="D101" s="20" t="s">
        <v>239</v>
      </c>
      <c r="E101" s="46">
        <v>53100</v>
      </c>
      <c r="F101" s="46">
        <v>0</v>
      </c>
      <c r="G101" s="49">
        <f t="shared" si="3"/>
        <v>0</v>
      </c>
    </row>
    <row r="102" spans="1:7" ht="12.75">
      <c r="A102" s="15">
        <v>600</v>
      </c>
      <c r="B102" s="19">
        <v>60016</v>
      </c>
      <c r="C102" s="14">
        <v>6330</v>
      </c>
      <c r="D102" s="20" t="s">
        <v>238</v>
      </c>
      <c r="E102" s="46">
        <v>391200</v>
      </c>
      <c r="F102" s="46">
        <v>0</v>
      </c>
      <c r="G102" s="49">
        <f t="shared" si="3"/>
        <v>0</v>
      </c>
    </row>
    <row r="103" spans="1:7" ht="12.75">
      <c r="A103" s="15">
        <v>630</v>
      </c>
      <c r="B103" s="19">
        <v>63003</v>
      </c>
      <c r="C103" s="14">
        <v>6297</v>
      </c>
      <c r="D103" s="20" t="s">
        <v>240</v>
      </c>
      <c r="E103" s="46">
        <v>3689884</v>
      </c>
      <c r="F103" s="46">
        <v>0</v>
      </c>
      <c r="G103" s="49">
        <f t="shared" si="3"/>
        <v>0</v>
      </c>
    </row>
    <row r="104" spans="1:7" ht="12.75">
      <c r="A104" s="15">
        <v>630</v>
      </c>
      <c r="B104" s="19">
        <v>63003</v>
      </c>
      <c r="C104" s="14">
        <v>6299</v>
      </c>
      <c r="D104" s="20" t="s">
        <v>240</v>
      </c>
      <c r="E104" s="46">
        <v>600000</v>
      </c>
      <c r="F104" s="46">
        <v>0</v>
      </c>
      <c r="G104" s="49">
        <f t="shared" si="3"/>
        <v>0</v>
      </c>
    </row>
    <row r="105" spans="1:7" ht="25.5">
      <c r="A105" s="15">
        <v>700</v>
      </c>
      <c r="B105" s="21" t="s">
        <v>16</v>
      </c>
      <c r="C105" s="14" t="s">
        <v>76</v>
      </c>
      <c r="D105" s="18" t="s">
        <v>152</v>
      </c>
      <c r="E105" s="46">
        <v>3000</v>
      </c>
      <c r="F105" s="46">
        <v>658.11</v>
      </c>
      <c r="G105" s="49">
        <f t="shared" si="3"/>
        <v>0.21937</v>
      </c>
    </row>
    <row r="106" spans="1:7" ht="12.75">
      <c r="A106" s="15">
        <v>700</v>
      </c>
      <c r="B106" s="21" t="s">
        <v>16</v>
      </c>
      <c r="C106" s="14" t="s">
        <v>97</v>
      </c>
      <c r="D106" s="18" t="s">
        <v>153</v>
      </c>
      <c r="E106" s="46">
        <v>80000</v>
      </c>
      <c r="F106" s="46">
        <v>17920.47</v>
      </c>
      <c r="G106" s="49">
        <f t="shared" si="3"/>
        <v>0.22400587500000002</v>
      </c>
    </row>
    <row r="107" spans="1:7" ht="25.5">
      <c r="A107" s="15">
        <v>700</v>
      </c>
      <c r="B107" s="21" t="s">
        <v>16</v>
      </c>
      <c r="C107" s="14" t="s">
        <v>101</v>
      </c>
      <c r="D107" s="18" t="s">
        <v>154</v>
      </c>
      <c r="E107" s="46">
        <v>20000</v>
      </c>
      <c r="F107" s="46">
        <v>19570.3</v>
      </c>
      <c r="G107" s="49">
        <f t="shared" si="3"/>
        <v>0.9785149999999999</v>
      </c>
    </row>
    <row r="108" spans="1:7" ht="25.5">
      <c r="A108" s="15">
        <v>750</v>
      </c>
      <c r="B108" s="21" t="s">
        <v>20</v>
      </c>
      <c r="C108" s="14" t="s">
        <v>101</v>
      </c>
      <c r="D108" s="18" t="s">
        <v>154</v>
      </c>
      <c r="E108" s="46">
        <v>600</v>
      </c>
      <c r="F108" s="46">
        <v>1392</v>
      </c>
      <c r="G108" s="49">
        <f t="shared" si="3"/>
        <v>2.32</v>
      </c>
    </row>
    <row r="109" spans="1:7" ht="12.75">
      <c r="A109" s="15">
        <v>750</v>
      </c>
      <c r="B109" s="21" t="s">
        <v>209</v>
      </c>
      <c r="C109" s="14">
        <v>6297</v>
      </c>
      <c r="D109" s="18" t="s">
        <v>241</v>
      </c>
      <c r="E109" s="46">
        <v>356780</v>
      </c>
      <c r="F109" s="46">
        <v>0</v>
      </c>
      <c r="G109" s="49">
        <f t="shared" si="3"/>
        <v>0</v>
      </c>
    </row>
    <row r="110" spans="1:7" ht="25.5">
      <c r="A110" s="15">
        <v>754</v>
      </c>
      <c r="B110" s="21" t="s">
        <v>195</v>
      </c>
      <c r="C110" s="14" t="s">
        <v>101</v>
      </c>
      <c r="D110" s="18" t="s">
        <v>154</v>
      </c>
      <c r="E110" s="46">
        <v>1000</v>
      </c>
      <c r="F110" s="46">
        <v>0</v>
      </c>
      <c r="G110" s="49">
        <f t="shared" si="3"/>
        <v>0</v>
      </c>
    </row>
    <row r="111" spans="1:7" ht="12.75">
      <c r="A111" s="15">
        <v>754</v>
      </c>
      <c r="B111" s="19">
        <v>75412</v>
      </c>
      <c r="C111" s="14">
        <v>6260</v>
      </c>
      <c r="D111" s="23" t="s">
        <v>242</v>
      </c>
      <c r="E111" s="46">
        <v>150000</v>
      </c>
      <c r="F111" s="46">
        <v>0</v>
      </c>
      <c r="G111" s="49">
        <f t="shared" si="3"/>
        <v>0</v>
      </c>
    </row>
    <row r="112" spans="1:7" ht="12.75">
      <c r="A112" s="15">
        <v>754</v>
      </c>
      <c r="B112" s="19">
        <v>75412</v>
      </c>
      <c r="C112" s="14">
        <v>6297</v>
      </c>
      <c r="D112" s="16" t="s">
        <v>243</v>
      </c>
      <c r="E112" s="46">
        <v>608531.08</v>
      </c>
      <c r="F112" s="46">
        <v>0</v>
      </c>
      <c r="G112" s="49">
        <f t="shared" si="3"/>
        <v>0</v>
      </c>
    </row>
    <row r="113" spans="1:7" ht="12.75">
      <c r="A113" s="15">
        <v>801</v>
      </c>
      <c r="B113" s="19">
        <v>80110</v>
      </c>
      <c r="C113" s="14">
        <v>6330</v>
      </c>
      <c r="D113" s="25" t="s">
        <v>244</v>
      </c>
      <c r="E113" s="46">
        <v>63500</v>
      </c>
      <c r="F113" s="46">
        <v>31750</v>
      </c>
      <c r="G113" s="49">
        <f t="shared" si="3"/>
        <v>0.5</v>
      </c>
    </row>
    <row r="114" spans="1:7" ht="25.5">
      <c r="A114" s="15">
        <v>900</v>
      </c>
      <c r="B114" s="19">
        <v>90001</v>
      </c>
      <c r="C114" s="24">
        <v>6297</v>
      </c>
      <c r="D114" s="29" t="s">
        <v>246</v>
      </c>
      <c r="E114" s="46">
        <v>2166035</v>
      </c>
      <c r="F114" s="46">
        <v>0</v>
      </c>
      <c r="G114" s="49">
        <f t="shared" si="3"/>
        <v>0</v>
      </c>
    </row>
    <row r="115" spans="1:7" ht="12.75">
      <c r="A115" s="15">
        <v>926</v>
      </c>
      <c r="B115" s="19">
        <v>92601</v>
      </c>
      <c r="C115" s="19">
        <v>6297</v>
      </c>
      <c r="D115" s="29" t="s">
        <v>247</v>
      </c>
      <c r="E115" s="46">
        <v>500000</v>
      </c>
      <c r="F115" s="46">
        <v>0</v>
      </c>
      <c r="G115" s="49">
        <f t="shared" si="3"/>
        <v>0</v>
      </c>
    </row>
    <row r="116" spans="1:7" ht="12.75">
      <c r="A116" s="30"/>
      <c r="B116" s="31"/>
      <c r="C116" s="31"/>
      <c r="D116" s="32" t="s">
        <v>255</v>
      </c>
      <c r="E116" s="46">
        <f>SUM(E99:E115)</f>
        <v>9653042.08</v>
      </c>
      <c r="F116" s="50">
        <f>SUM(F99:F115)</f>
        <v>71290.88</v>
      </c>
      <c r="G116" s="51">
        <f>F116/E116</f>
        <v>0.0073853277971</v>
      </c>
    </row>
    <row r="117" spans="1:7" ht="12.75">
      <c r="A117" s="30"/>
      <c r="B117" s="31"/>
      <c r="C117" s="31"/>
      <c r="D117" s="47" t="s">
        <v>252</v>
      </c>
      <c r="E117" s="46">
        <f>E116+E98</f>
        <v>42799075.410000004</v>
      </c>
      <c r="F117" s="46">
        <f>F116+F98</f>
        <v>27376396.079999987</v>
      </c>
      <c r="G117" s="51">
        <f t="shared" si="3"/>
        <v>0.6396492404974593</v>
      </c>
    </row>
    <row r="118" ht="12.75">
      <c r="G118" s="22"/>
    </row>
    <row r="119" spans="5:6" ht="12.75">
      <c r="E119" s="22"/>
      <c r="F119" s="22"/>
    </row>
    <row r="120" spans="5:7" ht="12.75">
      <c r="E120" s="22"/>
      <c r="F120" s="22"/>
      <c r="G120" s="22"/>
    </row>
  </sheetData>
  <sheetProtection/>
  <mergeCells count="1">
    <mergeCell ref="A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J92" sqref="J92"/>
    </sheetView>
  </sheetViews>
  <sheetFormatPr defaultColWidth="9.00390625" defaultRowHeight="12.75"/>
  <cols>
    <col min="1" max="1" width="4.25390625" style="3" customWidth="1"/>
    <col min="2" max="2" width="8.00390625" style="3" customWidth="1"/>
    <col min="3" max="3" width="51.375" style="2" customWidth="1"/>
    <col min="4" max="4" width="16.00390625" style="2" customWidth="1"/>
    <col min="5" max="5" width="13.25390625" style="2" customWidth="1"/>
    <col min="6" max="6" width="12.625" style="2" customWidth="1"/>
    <col min="7" max="7" width="16.875" style="108" customWidth="1"/>
    <col min="8" max="8" width="9.125" style="2" customWidth="1"/>
    <col min="9" max="9" width="11.75390625" style="2" bestFit="1" customWidth="1"/>
    <col min="10" max="10" width="9.125" style="2" customWidth="1"/>
    <col min="11" max="11" width="10.75390625" style="2" customWidth="1"/>
    <col min="12" max="16384" width="9.125" style="2" customWidth="1"/>
  </cols>
  <sheetData>
    <row r="1" ht="12.75">
      <c r="G1" s="52" t="s">
        <v>674</v>
      </c>
    </row>
    <row r="2" ht="15.75">
      <c r="G2" s="136" t="s">
        <v>605</v>
      </c>
    </row>
    <row r="3" spans="1:7" ht="15.75">
      <c r="A3" s="246" t="s">
        <v>509</v>
      </c>
      <c r="B3" s="246"/>
      <c r="C3" s="246"/>
      <c r="D3" s="246"/>
      <c r="E3" s="246"/>
      <c r="F3" s="246"/>
      <c r="G3" s="246"/>
    </row>
    <row r="4" spans="1:8" ht="12.75">
      <c r="A4" s="5"/>
      <c r="B4" s="5"/>
      <c r="C4" s="4"/>
      <c r="D4" s="4"/>
      <c r="E4" s="8"/>
      <c r="F4" s="8"/>
      <c r="G4" s="100"/>
      <c r="H4" s="7"/>
    </row>
    <row r="5" spans="1:7" ht="12.75">
      <c r="A5" s="101" t="s">
        <v>118</v>
      </c>
      <c r="B5" s="101" t="s">
        <v>51</v>
      </c>
      <c r="C5" s="101" t="s">
        <v>354</v>
      </c>
      <c r="D5" s="101" t="s">
        <v>129</v>
      </c>
      <c r="E5" s="307" t="s">
        <v>275</v>
      </c>
      <c r="F5" s="308"/>
      <c r="G5" s="102" t="s">
        <v>355</v>
      </c>
    </row>
    <row r="6" spans="1:7" ht="12.75">
      <c r="A6" s="103"/>
      <c r="B6" s="103"/>
      <c r="C6" s="104"/>
      <c r="D6" s="104"/>
      <c r="E6" s="15" t="s">
        <v>276</v>
      </c>
      <c r="F6" s="15" t="s">
        <v>99</v>
      </c>
      <c r="G6" s="105" t="s">
        <v>356</v>
      </c>
    </row>
    <row r="7" spans="1:7" ht="15.75">
      <c r="A7" s="55">
        <v>1</v>
      </c>
      <c r="B7" s="54" t="s">
        <v>115</v>
      </c>
      <c r="C7" s="114" t="s">
        <v>277</v>
      </c>
      <c r="D7" s="109">
        <f>727059+242353+230000</f>
        <v>1199412</v>
      </c>
      <c r="E7" s="109">
        <f>14604.35</f>
        <v>14604.35</v>
      </c>
      <c r="F7" s="110">
        <f>E7/D7</f>
        <v>0.012176258033102887</v>
      </c>
      <c r="G7" s="111" t="s">
        <v>282</v>
      </c>
    </row>
    <row r="8" spans="1:7" ht="15.75">
      <c r="A8" s="55">
        <v>2</v>
      </c>
      <c r="B8" s="55">
        <v>40002</v>
      </c>
      <c r="C8" s="114" t="s">
        <v>278</v>
      </c>
      <c r="D8" s="109">
        <v>81541</v>
      </c>
      <c r="E8" s="109">
        <v>16541</v>
      </c>
      <c r="F8" s="110">
        <f aca="true" t="shared" si="0" ref="F8:F40">E8/D8</f>
        <v>0.20285500545737728</v>
      </c>
      <c r="G8" s="111" t="s">
        <v>283</v>
      </c>
    </row>
    <row r="9" spans="1:7" ht="15.75">
      <c r="A9" s="55">
        <v>3</v>
      </c>
      <c r="B9" s="55">
        <v>40002</v>
      </c>
      <c r="C9" s="114" t="s">
        <v>279</v>
      </c>
      <c r="D9" s="109">
        <v>100000</v>
      </c>
      <c r="E9" s="109">
        <v>95222.32</v>
      </c>
      <c r="F9" s="110">
        <f t="shared" si="0"/>
        <v>0.9522232</v>
      </c>
      <c r="G9" s="111" t="s">
        <v>283</v>
      </c>
    </row>
    <row r="10" spans="1:7" ht="15.75">
      <c r="A10" s="55">
        <v>4</v>
      </c>
      <c r="B10" s="55">
        <v>40002</v>
      </c>
      <c r="C10" s="114" t="s">
        <v>496</v>
      </c>
      <c r="D10" s="109">
        <v>60000</v>
      </c>
      <c r="E10" s="109">
        <v>0</v>
      </c>
      <c r="F10" s="110">
        <f>E10/D10</f>
        <v>0</v>
      </c>
      <c r="G10" s="111" t="s">
        <v>497</v>
      </c>
    </row>
    <row r="11" spans="1:7" ht="15.75">
      <c r="A11" s="55">
        <v>5</v>
      </c>
      <c r="B11" s="55">
        <v>40002</v>
      </c>
      <c r="C11" s="114" t="s">
        <v>280</v>
      </c>
      <c r="D11" s="109">
        <v>100000</v>
      </c>
      <c r="E11" s="109">
        <v>4880</v>
      </c>
      <c r="F11" s="110">
        <f t="shared" si="0"/>
        <v>0.0488</v>
      </c>
      <c r="G11" s="111" t="s">
        <v>284</v>
      </c>
    </row>
    <row r="12" spans="1:11" ht="15.75">
      <c r="A12" s="55">
        <v>6</v>
      </c>
      <c r="B12" s="55">
        <v>40002</v>
      </c>
      <c r="C12" s="114" t="s">
        <v>281</v>
      </c>
      <c r="D12" s="109">
        <f>3280000-D11-D9-D8-D10</f>
        <v>2938459</v>
      </c>
      <c r="E12" s="109">
        <v>0</v>
      </c>
      <c r="F12" s="110">
        <f t="shared" si="0"/>
        <v>0</v>
      </c>
      <c r="G12" s="111" t="s">
        <v>285</v>
      </c>
      <c r="I12" s="7"/>
      <c r="K12" s="7"/>
    </row>
    <row r="13" spans="1:7" ht="15.75">
      <c r="A13" s="55">
        <v>7</v>
      </c>
      <c r="B13" s="55">
        <v>60013</v>
      </c>
      <c r="C13" s="114" t="s">
        <v>286</v>
      </c>
      <c r="D13" s="109">
        <v>100000</v>
      </c>
      <c r="E13" s="109">
        <v>0</v>
      </c>
      <c r="F13" s="110">
        <f t="shared" si="0"/>
        <v>0</v>
      </c>
      <c r="G13" s="111" t="s">
        <v>287</v>
      </c>
    </row>
    <row r="14" spans="1:7" ht="15.75">
      <c r="A14" s="55">
        <v>8</v>
      </c>
      <c r="B14" s="55">
        <v>60014</v>
      </c>
      <c r="C14" s="114" t="s">
        <v>289</v>
      </c>
      <c r="D14" s="109">
        <v>445200</v>
      </c>
      <c r="E14" s="109">
        <v>196.92</v>
      </c>
      <c r="F14" s="110">
        <f t="shared" si="0"/>
        <v>0.00044231805929919135</v>
      </c>
      <c r="G14" s="111" t="s">
        <v>296</v>
      </c>
    </row>
    <row r="15" spans="1:7" ht="15.75">
      <c r="A15" s="55">
        <v>9</v>
      </c>
      <c r="B15" s="55">
        <v>60016</v>
      </c>
      <c r="C15" s="114" t="s">
        <v>288</v>
      </c>
      <c r="D15" s="109">
        <v>800000</v>
      </c>
      <c r="E15" s="109">
        <v>29280</v>
      </c>
      <c r="F15" s="110">
        <f t="shared" si="0"/>
        <v>0.0366</v>
      </c>
      <c r="G15" s="111" t="s">
        <v>287</v>
      </c>
    </row>
    <row r="16" spans="1:7" ht="15.75">
      <c r="A16" s="55">
        <v>10</v>
      </c>
      <c r="B16" s="55">
        <v>60016</v>
      </c>
      <c r="C16" s="114" t="s">
        <v>290</v>
      </c>
      <c r="D16" s="109">
        <v>450000</v>
      </c>
      <c r="E16" s="109">
        <v>138539.47</v>
      </c>
      <c r="F16" s="110">
        <f t="shared" si="0"/>
        <v>0.30786548888888887</v>
      </c>
      <c r="G16" s="111" t="s">
        <v>329</v>
      </c>
    </row>
    <row r="17" spans="1:7" ht="15.75">
      <c r="A17" s="55">
        <v>11</v>
      </c>
      <c r="B17" s="55">
        <v>60016</v>
      </c>
      <c r="C17" s="114" t="s">
        <v>291</v>
      </c>
      <c r="D17" s="109">
        <v>320000</v>
      </c>
      <c r="E17" s="109">
        <f>29280+1464</f>
        <v>30744</v>
      </c>
      <c r="F17" s="110">
        <f t="shared" si="0"/>
        <v>0.096075</v>
      </c>
      <c r="G17" s="111" t="s">
        <v>287</v>
      </c>
    </row>
    <row r="18" spans="1:7" ht="15.75">
      <c r="A18" s="55">
        <v>12</v>
      </c>
      <c r="B18" s="55">
        <v>60016</v>
      </c>
      <c r="C18" s="114" t="s">
        <v>292</v>
      </c>
      <c r="D18" s="109">
        <v>920000</v>
      </c>
      <c r="E18" s="109">
        <v>142269.98</v>
      </c>
      <c r="F18" s="110">
        <f t="shared" si="0"/>
        <v>0.15464128260869567</v>
      </c>
      <c r="G18" s="111" t="s">
        <v>287</v>
      </c>
    </row>
    <row r="19" spans="1:7" ht="15.75">
      <c r="A19" s="55">
        <v>13</v>
      </c>
      <c r="B19" s="55">
        <v>60016</v>
      </c>
      <c r="C19" s="114" t="s">
        <v>498</v>
      </c>
      <c r="D19" s="109">
        <v>300000</v>
      </c>
      <c r="E19" s="109">
        <v>29280</v>
      </c>
      <c r="F19" s="110">
        <f>E19/D19</f>
        <v>0.0976</v>
      </c>
      <c r="G19" s="111" t="s">
        <v>287</v>
      </c>
    </row>
    <row r="20" spans="1:7" ht="15.75">
      <c r="A20" s="55">
        <v>14</v>
      </c>
      <c r="B20" s="55">
        <v>60016</v>
      </c>
      <c r="C20" s="114" t="s">
        <v>293</v>
      </c>
      <c r="D20" s="109">
        <v>420000</v>
      </c>
      <c r="E20" s="109">
        <f>732+976</f>
        <v>1708</v>
      </c>
      <c r="F20" s="110">
        <f t="shared" si="0"/>
        <v>0.004066666666666666</v>
      </c>
      <c r="G20" s="111" t="s">
        <v>497</v>
      </c>
    </row>
    <row r="21" spans="1:7" ht="15.75">
      <c r="A21" s="55">
        <v>15</v>
      </c>
      <c r="B21" s="55">
        <v>60016</v>
      </c>
      <c r="C21" s="114" t="s">
        <v>294</v>
      </c>
      <c r="D21" s="109">
        <v>59250</v>
      </c>
      <c r="E21" s="109">
        <v>59250</v>
      </c>
      <c r="F21" s="110">
        <f t="shared" si="0"/>
        <v>1</v>
      </c>
      <c r="G21" s="111" t="s">
        <v>283</v>
      </c>
    </row>
    <row r="22" spans="1:7" ht="15.75">
      <c r="A22" s="55">
        <v>16</v>
      </c>
      <c r="B22" s="55">
        <v>60016</v>
      </c>
      <c r="C22" s="114" t="s">
        <v>295</v>
      </c>
      <c r="D22" s="109">
        <v>500000</v>
      </c>
      <c r="E22" s="109">
        <v>1708</v>
      </c>
      <c r="F22" s="110">
        <f t="shared" si="0"/>
        <v>0.003416</v>
      </c>
      <c r="G22" s="111" t="s">
        <v>296</v>
      </c>
    </row>
    <row r="23" spans="1:7" ht="15.75">
      <c r="A23" s="55">
        <v>17</v>
      </c>
      <c r="B23" s="55">
        <v>60016</v>
      </c>
      <c r="C23" s="114" t="s">
        <v>297</v>
      </c>
      <c r="D23" s="109">
        <v>609750</v>
      </c>
      <c r="E23" s="109">
        <v>29280</v>
      </c>
      <c r="F23" s="110">
        <f t="shared" si="0"/>
        <v>0.048019680196801966</v>
      </c>
      <c r="G23" s="111" t="s">
        <v>284</v>
      </c>
    </row>
    <row r="24" spans="1:7" ht="15.75">
      <c r="A24" s="55">
        <v>18</v>
      </c>
      <c r="B24" s="55">
        <v>60016</v>
      </c>
      <c r="C24" s="114" t="s">
        <v>302</v>
      </c>
      <c r="D24" s="109">
        <v>62500</v>
      </c>
      <c r="E24" s="109">
        <f>30744+1464</f>
        <v>32208</v>
      </c>
      <c r="F24" s="110">
        <f t="shared" si="0"/>
        <v>0.515328</v>
      </c>
      <c r="G24" s="111" t="s">
        <v>497</v>
      </c>
    </row>
    <row r="25" spans="1:11" ht="15.75">
      <c r="A25" s="55">
        <v>19</v>
      </c>
      <c r="B25" s="55">
        <v>60016</v>
      </c>
      <c r="C25" s="114" t="s">
        <v>301</v>
      </c>
      <c r="D25" s="109">
        <v>500000</v>
      </c>
      <c r="E25" s="109">
        <v>209115.66</v>
      </c>
      <c r="F25" s="110">
        <f>E25/D25</f>
        <v>0.41823132</v>
      </c>
      <c r="G25" s="111" t="s">
        <v>309</v>
      </c>
      <c r="I25" s="7"/>
      <c r="K25" s="7"/>
    </row>
    <row r="26" spans="1:7" ht="15.75">
      <c r="A26" s="55">
        <v>20</v>
      </c>
      <c r="B26" s="55">
        <v>60041</v>
      </c>
      <c r="C26" s="114" t="s">
        <v>299</v>
      </c>
      <c r="D26" s="109">
        <v>1500000</v>
      </c>
      <c r="E26" s="109">
        <v>43591.12</v>
      </c>
      <c r="F26" s="110">
        <f t="shared" si="0"/>
        <v>0.029060746666666668</v>
      </c>
      <c r="G26" s="111" t="s">
        <v>284</v>
      </c>
    </row>
    <row r="27" spans="1:7" ht="15.75">
      <c r="A27" s="55">
        <v>21</v>
      </c>
      <c r="B27" s="55">
        <v>63003</v>
      </c>
      <c r="C27" s="114" t="s">
        <v>349</v>
      </c>
      <c r="D27" s="109">
        <v>8028723</v>
      </c>
      <c r="E27" s="109">
        <f>382651.76+1568178.11+1328123.26</f>
        <v>3278953.13</v>
      </c>
      <c r="F27" s="110">
        <f t="shared" si="0"/>
        <v>0.40840282196807637</v>
      </c>
      <c r="G27" s="111" t="s">
        <v>497</v>
      </c>
    </row>
    <row r="28" spans="1:7" ht="15.75">
      <c r="A28" s="55">
        <v>22</v>
      </c>
      <c r="B28" s="55">
        <v>63003</v>
      </c>
      <c r="C28" s="114" t="s">
        <v>300</v>
      </c>
      <c r="D28" s="109">
        <v>600000</v>
      </c>
      <c r="E28" s="109">
        <f>520179.02-382651.76+121207+63124.83+189374.48</f>
        <v>511233.57000000007</v>
      </c>
      <c r="F28" s="110">
        <f t="shared" si="0"/>
        <v>0.8520559500000001</v>
      </c>
      <c r="G28" s="111" t="s">
        <v>329</v>
      </c>
    </row>
    <row r="29" spans="1:7" ht="15.75">
      <c r="A29" s="55">
        <v>23</v>
      </c>
      <c r="B29" s="55">
        <v>63003</v>
      </c>
      <c r="C29" s="114" t="s">
        <v>499</v>
      </c>
      <c r="D29" s="109">
        <v>30000</v>
      </c>
      <c r="E29" s="109">
        <v>0</v>
      </c>
      <c r="F29" s="110">
        <f>E29/D29</f>
        <v>0</v>
      </c>
      <c r="G29" s="111" t="s">
        <v>500</v>
      </c>
    </row>
    <row r="30" spans="1:7" ht="15.75">
      <c r="A30" s="55">
        <v>24</v>
      </c>
      <c r="B30" s="55">
        <v>63003</v>
      </c>
      <c r="C30" s="114" t="s">
        <v>303</v>
      </c>
      <c r="D30" s="109">
        <v>18000</v>
      </c>
      <c r="E30" s="109">
        <f>181.5+5078.64</f>
        <v>5260.14</v>
      </c>
      <c r="F30" s="110">
        <f t="shared" si="0"/>
        <v>0.29223000000000005</v>
      </c>
      <c r="G30" s="111" t="s">
        <v>296</v>
      </c>
    </row>
    <row r="31" spans="1:7" ht="15.75">
      <c r="A31" s="55">
        <v>25</v>
      </c>
      <c r="B31" s="55">
        <v>70005</v>
      </c>
      <c r="C31" s="114" t="s">
        <v>304</v>
      </c>
      <c r="D31" s="109">
        <v>577000</v>
      </c>
      <c r="E31" s="109">
        <v>2078.44</v>
      </c>
      <c r="F31" s="110">
        <f t="shared" si="0"/>
        <v>0.003602149046793761</v>
      </c>
      <c r="G31" s="111" t="s">
        <v>309</v>
      </c>
    </row>
    <row r="32" spans="1:7" ht="15.75">
      <c r="A32" s="55">
        <v>26</v>
      </c>
      <c r="B32" s="55">
        <v>70005</v>
      </c>
      <c r="C32" s="114" t="s">
        <v>305</v>
      </c>
      <c r="D32" s="109">
        <v>700000</v>
      </c>
      <c r="E32" s="109">
        <v>258.16</v>
      </c>
      <c r="F32" s="110">
        <f t="shared" si="0"/>
        <v>0.0003688</v>
      </c>
      <c r="G32" s="111" t="s">
        <v>287</v>
      </c>
    </row>
    <row r="33" spans="1:7" ht="15.75">
      <c r="A33" s="55">
        <v>27</v>
      </c>
      <c r="B33" s="55">
        <v>70005</v>
      </c>
      <c r="C33" s="114" t="s">
        <v>308</v>
      </c>
      <c r="D33" s="109">
        <v>3720000</v>
      </c>
      <c r="E33" s="109">
        <v>102.96</v>
      </c>
      <c r="F33" s="110">
        <f t="shared" si="0"/>
        <v>2.767741935483871E-05</v>
      </c>
      <c r="G33" s="111" t="s">
        <v>284</v>
      </c>
    </row>
    <row r="34" spans="1:11" ht="15.75">
      <c r="A34" s="55">
        <v>28</v>
      </c>
      <c r="B34" s="55">
        <v>70005</v>
      </c>
      <c r="C34" s="114" t="s">
        <v>306</v>
      </c>
      <c r="D34" s="109">
        <v>3000</v>
      </c>
      <c r="E34" s="109">
        <f>1830+1098</f>
        <v>2928</v>
      </c>
      <c r="F34" s="110">
        <f t="shared" si="0"/>
        <v>0.976</v>
      </c>
      <c r="G34" s="111" t="s">
        <v>307</v>
      </c>
      <c r="I34" s="7"/>
      <c r="K34" s="7"/>
    </row>
    <row r="35" spans="1:7" ht="15.75">
      <c r="A35" s="55">
        <v>29</v>
      </c>
      <c r="B35" s="55">
        <v>71035</v>
      </c>
      <c r="C35" s="114" t="s">
        <v>310</v>
      </c>
      <c r="D35" s="109">
        <v>60000</v>
      </c>
      <c r="E35" s="109">
        <v>0</v>
      </c>
      <c r="F35" s="110">
        <f t="shared" si="0"/>
        <v>0</v>
      </c>
      <c r="G35" s="111" t="s">
        <v>287</v>
      </c>
    </row>
    <row r="36" spans="1:7" ht="15.75">
      <c r="A36" s="55">
        <v>30</v>
      </c>
      <c r="B36" s="55">
        <v>71035</v>
      </c>
      <c r="C36" s="114" t="s">
        <v>311</v>
      </c>
      <c r="D36" s="109">
        <v>25000</v>
      </c>
      <c r="E36" s="109">
        <v>0</v>
      </c>
      <c r="F36" s="110">
        <f t="shared" si="0"/>
        <v>0</v>
      </c>
      <c r="G36" s="111" t="s">
        <v>287</v>
      </c>
    </row>
    <row r="37" spans="1:11" ht="15.75">
      <c r="A37" s="55">
        <v>31</v>
      </c>
      <c r="B37" s="55">
        <v>71035</v>
      </c>
      <c r="C37" s="114" t="s">
        <v>312</v>
      </c>
      <c r="D37" s="109">
        <v>75000</v>
      </c>
      <c r="E37" s="109">
        <v>0</v>
      </c>
      <c r="F37" s="110">
        <f t="shared" si="0"/>
        <v>0</v>
      </c>
      <c r="G37" s="111" t="s">
        <v>313</v>
      </c>
      <c r="I37" s="7"/>
      <c r="K37" s="7"/>
    </row>
    <row r="38" spans="1:7" ht="15.75">
      <c r="A38" s="55">
        <v>32</v>
      </c>
      <c r="B38" s="55">
        <v>75011</v>
      </c>
      <c r="C38" s="114" t="s">
        <v>501</v>
      </c>
      <c r="D38" s="109">
        <v>7000</v>
      </c>
      <c r="E38" s="109">
        <v>6954</v>
      </c>
      <c r="F38" s="110">
        <f t="shared" si="0"/>
        <v>0.9934285714285714</v>
      </c>
      <c r="G38" s="111" t="s">
        <v>314</v>
      </c>
    </row>
    <row r="39" spans="1:7" ht="15.75">
      <c r="A39" s="55">
        <v>33</v>
      </c>
      <c r="B39" s="55">
        <v>75023</v>
      </c>
      <c r="C39" s="114" t="s">
        <v>315</v>
      </c>
      <c r="D39" s="109">
        <v>6832</v>
      </c>
      <c r="E39" s="109">
        <v>6832</v>
      </c>
      <c r="F39" s="110">
        <f t="shared" si="0"/>
        <v>1</v>
      </c>
      <c r="G39" s="111" t="s">
        <v>316</v>
      </c>
    </row>
    <row r="40" spans="1:7" ht="15.75">
      <c r="A40" s="55">
        <v>34</v>
      </c>
      <c r="B40" s="55">
        <v>75023</v>
      </c>
      <c r="C40" s="114" t="s">
        <v>317</v>
      </c>
      <c r="D40" s="109">
        <v>6710</v>
      </c>
      <c r="E40" s="109">
        <v>6710</v>
      </c>
      <c r="F40" s="110">
        <f t="shared" si="0"/>
        <v>1</v>
      </c>
      <c r="G40" s="111" t="s">
        <v>314</v>
      </c>
    </row>
    <row r="41" spans="1:7" ht="15.75">
      <c r="A41" s="55">
        <v>35</v>
      </c>
      <c r="B41" s="55">
        <v>75023</v>
      </c>
      <c r="C41" s="114" t="s">
        <v>318</v>
      </c>
      <c r="D41" s="109">
        <v>3647.8</v>
      </c>
      <c r="E41" s="109">
        <v>3647.8</v>
      </c>
      <c r="F41" s="110">
        <f aca="true" t="shared" si="1" ref="F41:F82">E41/D41</f>
        <v>1</v>
      </c>
      <c r="G41" s="111" t="s">
        <v>319</v>
      </c>
    </row>
    <row r="42" spans="1:7" ht="15.75">
      <c r="A42" s="55">
        <v>36</v>
      </c>
      <c r="B42" s="55">
        <v>75023</v>
      </c>
      <c r="C42" s="114" t="s">
        <v>320</v>
      </c>
      <c r="D42" s="109">
        <v>54991</v>
      </c>
      <c r="E42" s="109">
        <v>0</v>
      </c>
      <c r="F42" s="110">
        <f t="shared" si="1"/>
        <v>0</v>
      </c>
      <c r="G42" s="111" t="s">
        <v>287</v>
      </c>
    </row>
    <row r="43" spans="1:7" ht="15.75">
      <c r="A43" s="55">
        <v>37</v>
      </c>
      <c r="B43" s="55">
        <v>75023</v>
      </c>
      <c r="C43" s="114" t="s">
        <v>321</v>
      </c>
      <c r="D43" s="109">
        <v>60000</v>
      </c>
      <c r="E43" s="109">
        <v>0</v>
      </c>
      <c r="F43" s="110">
        <f t="shared" si="1"/>
        <v>0</v>
      </c>
      <c r="G43" s="111" t="s">
        <v>296</v>
      </c>
    </row>
    <row r="44" spans="1:11" ht="15.75">
      <c r="A44" s="55">
        <v>38</v>
      </c>
      <c r="B44" s="55">
        <v>75023</v>
      </c>
      <c r="C44" s="114" t="s">
        <v>322</v>
      </c>
      <c r="D44" s="109">
        <f>2440+10379.2</f>
        <v>12819.2</v>
      </c>
      <c r="E44" s="109">
        <v>0</v>
      </c>
      <c r="F44" s="110">
        <f t="shared" si="1"/>
        <v>0</v>
      </c>
      <c r="G44" s="111" t="s">
        <v>298</v>
      </c>
      <c r="I44" s="7"/>
      <c r="K44" s="7"/>
    </row>
    <row r="45" spans="1:7" ht="15.75">
      <c r="A45" s="55">
        <v>39</v>
      </c>
      <c r="B45" s="55">
        <v>75095</v>
      </c>
      <c r="C45" s="114" t="s">
        <v>221</v>
      </c>
      <c r="D45" s="109">
        <v>356780</v>
      </c>
      <c r="E45" s="109">
        <v>102.12</v>
      </c>
      <c r="F45" s="110">
        <f t="shared" si="1"/>
        <v>0.0002862268064353383</v>
      </c>
      <c r="G45" s="111" t="s">
        <v>323</v>
      </c>
    </row>
    <row r="46" spans="1:7" ht="15.75">
      <c r="A46" s="55">
        <v>40</v>
      </c>
      <c r="B46" s="55">
        <v>75412</v>
      </c>
      <c r="C46" s="114" t="s">
        <v>350</v>
      </c>
      <c r="D46" s="109">
        <v>600000</v>
      </c>
      <c r="E46" s="109">
        <f>13683.79-5083.79</f>
        <v>8600</v>
      </c>
      <c r="F46" s="110">
        <f>E46/D46</f>
        <v>0.014333333333333333</v>
      </c>
      <c r="G46" s="111" t="s">
        <v>296</v>
      </c>
    </row>
    <row r="47" spans="1:7" ht="15.75">
      <c r="A47" s="55">
        <v>41</v>
      </c>
      <c r="B47" s="55">
        <v>75412</v>
      </c>
      <c r="C47" s="114" t="s">
        <v>504</v>
      </c>
      <c r="D47" s="109">
        <v>608531.08</v>
      </c>
      <c r="E47" s="109">
        <v>0</v>
      </c>
      <c r="F47" s="110">
        <f>E47/D47</f>
        <v>0</v>
      </c>
      <c r="G47" s="111" t="s">
        <v>296</v>
      </c>
    </row>
    <row r="48" spans="1:7" ht="15.75">
      <c r="A48" s="55">
        <v>42</v>
      </c>
      <c r="B48" s="55">
        <v>75412</v>
      </c>
      <c r="C48" s="114" t="s">
        <v>351</v>
      </c>
      <c r="D48" s="109">
        <v>844900</v>
      </c>
      <c r="E48" s="109">
        <v>0</v>
      </c>
      <c r="F48" s="110">
        <f t="shared" si="1"/>
        <v>0</v>
      </c>
      <c r="G48" s="111" t="s">
        <v>296</v>
      </c>
    </row>
    <row r="49" spans="1:11" ht="15.75">
      <c r="A49" s="55">
        <v>43</v>
      </c>
      <c r="B49" s="55">
        <v>75412</v>
      </c>
      <c r="C49" s="114" t="s">
        <v>327</v>
      </c>
      <c r="D49" s="109">
        <v>5100</v>
      </c>
      <c r="E49" s="109">
        <v>5083.79</v>
      </c>
      <c r="F49" s="110">
        <f>E49/D49</f>
        <v>0.996821568627451</v>
      </c>
      <c r="G49" s="111" t="s">
        <v>328</v>
      </c>
      <c r="I49" s="7"/>
      <c r="K49" s="7"/>
    </row>
    <row r="50" spans="1:7" ht="15.75">
      <c r="A50" s="55">
        <v>44</v>
      </c>
      <c r="B50" s="55">
        <v>75416</v>
      </c>
      <c r="C50" s="114" t="s">
        <v>324</v>
      </c>
      <c r="D50" s="109">
        <v>200000</v>
      </c>
      <c r="E50" s="109">
        <v>10248</v>
      </c>
      <c r="F50" s="110">
        <f t="shared" si="1"/>
        <v>0.05124</v>
      </c>
      <c r="G50" s="111" t="s">
        <v>313</v>
      </c>
    </row>
    <row r="51" spans="1:7" ht="15.75">
      <c r="A51" s="55">
        <v>45</v>
      </c>
      <c r="B51" s="55">
        <v>80101</v>
      </c>
      <c r="C51" s="114" t="s">
        <v>511</v>
      </c>
      <c r="D51" s="109">
        <v>700000</v>
      </c>
      <c r="E51" s="109">
        <f>1098+8906+5465.6</f>
        <v>15469.6</v>
      </c>
      <c r="F51" s="110">
        <f t="shared" si="1"/>
        <v>0.022099428571428572</v>
      </c>
      <c r="G51" s="111" t="s">
        <v>313</v>
      </c>
    </row>
    <row r="52" spans="1:7" ht="15.75">
      <c r="A52" s="55">
        <v>46</v>
      </c>
      <c r="B52" s="55">
        <v>80101</v>
      </c>
      <c r="C52" s="114" t="s">
        <v>512</v>
      </c>
      <c r="D52" s="109">
        <v>130000</v>
      </c>
      <c r="E52" s="113">
        <v>0</v>
      </c>
      <c r="F52" s="110">
        <f>E52/D52</f>
        <v>0</v>
      </c>
      <c r="G52" s="111" t="s">
        <v>313</v>
      </c>
    </row>
    <row r="53" spans="1:7" ht="15.75">
      <c r="A53" s="55">
        <v>47</v>
      </c>
      <c r="B53" s="55">
        <v>80101</v>
      </c>
      <c r="C53" s="114" t="s">
        <v>325</v>
      </c>
      <c r="D53" s="109">
        <v>420000</v>
      </c>
      <c r="E53" s="109">
        <v>0</v>
      </c>
      <c r="F53" s="110">
        <f t="shared" si="1"/>
        <v>0</v>
      </c>
      <c r="G53" s="111" t="s">
        <v>287</v>
      </c>
    </row>
    <row r="54" spans="1:7" ht="15.75">
      <c r="A54" s="55">
        <v>48</v>
      </c>
      <c r="B54" s="55">
        <v>80101</v>
      </c>
      <c r="C54" s="114" t="s">
        <v>503</v>
      </c>
      <c r="D54" s="109">
        <v>164200</v>
      </c>
      <c r="E54" s="109">
        <v>0</v>
      </c>
      <c r="F54" s="110">
        <f>E54/D54</f>
        <v>0</v>
      </c>
      <c r="G54" s="111" t="s">
        <v>287</v>
      </c>
    </row>
    <row r="55" spans="1:7" ht="15.75">
      <c r="A55" s="55">
        <v>49</v>
      </c>
      <c r="B55" s="55">
        <v>80101</v>
      </c>
      <c r="C55" s="114" t="s">
        <v>439</v>
      </c>
      <c r="D55" s="109">
        <v>950000</v>
      </c>
      <c r="E55" s="109">
        <f>37820+4000+1830-861.04</f>
        <v>42788.96</v>
      </c>
      <c r="F55" s="110">
        <f t="shared" si="1"/>
        <v>0.04504101052631579</v>
      </c>
      <c r="G55" s="111" t="s">
        <v>329</v>
      </c>
    </row>
    <row r="56" spans="1:7" ht="15.75">
      <c r="A56" s="55">
        <v>50</v>
      </c>
      <c r="B56" s="55">
        <v>80101</v>
      </c>
      <c r="C56" s="114" t="s">
        <v>326</v>
      </c>
      <c r="D56" s="109">
        <v>180000</v>
      </c>
      <c r="E56" s="109">
        <f>30.52+400</f>
        <v>430.52</v>
      </c>
      <c r="F56" s="110">
        <f t="shared" si="1"/>
        <v>0.002391777777777778</v>
      </c>
      <c r="G56" s="111" t="s">
        <v>287</v>
      </c>
    </row>
    <row r="57" spans="1:7" ht="15.75">
      <c r="A57" s="55">
        <v>51</v>
      </c>
      <c r="B57" s="55">
        <v>80101</v>
      </c>
      <c r="C57" s="114" t="s">
        <v>330</v>
      </c>
      <c r="D57" s="109">
        <v>14500</v>
      </c>
      <c r="E57" s="109">
        <v>5490</v>
      </c>
      <c r="F57" s="110">
        <f t="shared" si="1"/>
        <v>0.3786206896551724</v>
      </c>
      <c r="G57" s="111" t="s">
        <v>329</v>
      </c>
    </row>
    <row r="58" spans="1:11" ht="15.75">
      <c r="A58" s="55">
        <v>52</v>
      </c>
      <c r="B58" s="55">
        <v>80101</v>
      </c>
      <c r="C58" s="114" t="s">
        <v>331</v>
      </c>
      <c r="D58" s="109">
        <v>8000</v>
      </c>
      <c r="E58" s="109">
        <v>0</v>
      </c>
      <c r="F58" s="110">
        <f t="shared" si="1"/>
        <v>0</v>
      </c>
      <c r="G58" s="111" t="s">
        <v>329</v>
      </c>
      <c r="I58" s="7"/>
      <c r="K58" s="7"/>
    </row>
    <row r="59" spans="1:7" ht="15.75">
      <c r="A59" s="55">
        <v>53</v>
      </c>
      <c r="B59" s="55">
        <v>80104</v>
      </c>
      <c r="C59" s="114" t="s">
        <v>332</v>
      </c>
      <c r="D59" s="109">
        <v>50000</v>
      </c>
      <c r="E59" s="109">
        <v>0</v>
      </c>
      <c r="F59" s="110">
        <f t="shared" si="1"/>
        <v>0</v>
      </c>
      <c r="G59" s="111" t="s">
        <v>313</v>
      </c>
    </row>
    <row r="60" spans="1:7" ht="15.75">
      <c r="A60" s="55">
        <v>54</v>
      </c>
      <c r="B60" s="55">
        <v>80110</v>
      </c>
      <c r="C60" s="114" t="s">
        <v>333</v>
      </c>
      <c r="D60" s="109">
        <v>114040</v>
      </c>
      <c r="E60" s="109">
        <v>23912</v>
      </c>
      <c r="F60" s="110">
        <f t="shared" si="1"/>
        <v>0.20968081374956155</v>
      </c>
      <c r="G60" s="111" t="s">
        <v>287</v>
      </c>
    </row>
    <row r="61" spans="1:7" ht="15.75">
      <c r="A61" s="55">
        <v>55</v>
      </c>
      <c r="B61" s="55">
        <v>80110</v>
      </c>
      <c r="C61" s="114" t="s">
        <v>334</v>
      </c>
      <c r="D61" s="109">
        <v>15000</v>
      </c>
      <c r="E61" s="109">
        <v>0</v>
      </c>
      <c r="F61" s="110">
        <f t="shared" si="1"/>
        <v>0</v>
      </c>
      <c r="G61" s="111" t="s">
        <v>502</v>
      </c>
    </row>
    <row r="62" spans="1:7" ht="15.75">
      <c r="A62" s="55">
        <v>56</v>
      </c>
      <c r="B62" s="55">
        <v>80395</v>
      </c>
      <c r="C62" s="114" t="s">
        <v>352</v>
      </c>
      <c r="D62" s="109">
        <v>50000</v>
      </c>
      <c r="E62" s="109">
        <v>0</v>
      </c>
      <c r="F62" s="110">
        <f t="shared" si="1"/>
        <v>0</v>
      </c>
      <c r="G62" s="111" t="s">
        <v>309</v>
      </c>
    </row>
    <row r="63" spans="1:7" ht="15.75">
      <c r="A63" s="55">
        <v>57</v>
      </c>
      <c r="B63" s="55">
        <v>85121</v>
      </c>
      <c r="C63" s="114" t="s">
        <v>335</v>
      </c>
      <c r="D63" s="109">
        <v>150000</v>
      </c>
      <c r="E63" s="113">
        <v>0</v>
      </c>
      <c r="F63" s="110">
        <f>E63/D63</f>
        <v>0</v>
      </c>
      <c r="G63" s="111" t="s">
        <v>313</v>
      </c>
    </row>
    <row r="64" spans="1:9" ht="15.75">
      <c r="A64" s="55">
        <v>58</v>
      </c>
      <c r="B64" s="55">
        <v>90001</v>
      </c>
      <c r="C64" s="114" t="s">
        <v>336</v>
      </c>
      <c r="D64" s="109">
        <v>650000</v>
      </c>
      <c r="E64" s="109">
        <f>64.65</f>
        <v>64.65</v>
      </c>
      <c r="F64" s="110">
        <f t="shared" si="1"/>
        <v>9.946153846153848E-05</v>
      </c>
      <c r="G64" s="111" t="s">
        <v>313</v>
      </c>
      <c r="I64" s="7"/>
    </row>
    <row r="65" spans="1:7" ht="15.75">
      <c r="A65" s="55">
        <v>59</v>
      </c>
      <c r="B65" s="55">
        <v>90001</v>
      </c>
      <c r="C65" s="114" t="s">
        <v>337</v>
      </c>
      <c r="D65" s="109">
        <v>1200000</v>
      </c>
      <c r="E65" s="109">
        <f>19.6+190.32</f>
        <v>209.92</v>
      </c>
      <c r="F65" s="110">
        <f t="shared" si="1"/>
        <v>0.00017493333333333332</v>
      </c>
      <c r="G65" s="111" t="s">
        <v>313</v>
      </c>
    </row>
    <row r="66" spans="1:9" ht="15.75">
      <c r="A66" s="55">
        <v>60</v>
      </c>
      <c r="B66" s="55">
        <v>90001</v>
      </c>
      <c r="C66" s="114" t="s">
        <v>338</v>
      </c>
      <c r="D66" s="109">
        <v>300000</v>
      </c>
      <c r="E66" s="109">
        <v>1464</v>
      </c>
      <c r="F66" s="110">
        <f t="shared" si="1"/>
        <v>0.00488</v>
      </c>
      <c r="G66" s="111" t="s">
        <v>500</v>
      </c>
      <c r="I66" s="7"/>
    </row>
    <row r="67" spans="1:9" ht="15.75">
      <c r="A67" s="55">
        <v>61</v>
      </c>
      <c r="B67" s="55">
        <v>90001</v>
      </c>
      <c r="C67" s="114" t="s">
        <v>505</v>
      </c>
      <c r="D67" s="109">
        <v>55000</v>
      </c>
      <c r="E67" s="109">
        <v>0</v>
      </c>
      <c r="F67" s="110">
        <f>E67/D67</f>
        <v>0</v>
      </c>
      <c r="G67" s="111" t="s">
        <v>497</v>
      </c>
      <c r="I67" s="7"/>
    </row>
    <row r="68" spans="1:7" ht="15.75">
      <c r="A68" s="55">
        <v>62</v>
      </c>
      <c r="B68" s="55">
        <v>90001</v>
      </c>
      <c r="C68" s="114" t="s">
        <v>339</v>
      </c>
      <c r="D68" s="109">
        <v>185000</v>
      </c>
      <c r="E68" s="109">
        <v>183262.61</v>
      </c>
      <c r="F68" s="110">
        <f aca="true" t="shared" si="2" ref="F68:F77">E68/D68</f>
        <v>0.9906087027027026</v>
      </c>
      <c r="G68" s="111" t="s">
        <v>309</v>
      </c>
    </row>
    <row r="69" spans="1:7" ht="15.75">
      <c r="A69" s="55">
        <v>63</v>
      </c>
      <c r="B69" s="55">
        <v>90001</v>
      </c>
      <c r="C69" s="114" t="s">
        <v>340</v>
      </c>
      <c r="D69" s="109">
        <v>200000</v>
      </c>
      <c r="E69" s="109">
        <v>1730.2</v>
      </c>
      <c r="F69" s="110">
        <f t="shared" si="2"/>
        <v>0.008651</v>
      </c>
      <c r="G69" s="111" t="s">
        <v>296</v>
      </c>
    </row>
    <row r="70" spans="1:7" ht="15.75">
      <c r="A70" s="55">
        <v>64</v>
      </c>
      <c r="B70" s="55">
        <v>90001</v>
      </c>
      <c r="C70" s="114" t="s">
        <v>506</v>
      </c>
      <c r="D70" s="109">
        <v>75000</v>
      </c>
      <c r="E70" s="109">
        <v>0</v>
      </c>
      <c r="F70" s="110">
        <f>E70/D70</f>
        <v>0</v>
      </c>
      <c r="G70" s="111" t="s">
        <v>287</v>
      </c>
    </row>
    <row r="71" spans="1:7" ht="15.75">
      <c r="A71" s="55">
        <v>65</v>
      </c>
      <c r="B71" s="55">
        <v>90001</v>
      </c>
      <c r="C71" s="114" t="s">
        <v>507</v>
      </c>
      <c r="D71" s="109">
        <v>100000</v>
      </c>
      <c r="E71" s="109">
        <v>82104.34</v>
      </c>
      <c r="F71" s="110">
        <f t="shared" si="2"/>
        <v>0.8210434</v>
      </c>
      <c r="G71" s="111" t="s">
        <v>287</v>
      </c>
    </row>
    <row r="72" spans="1:11" ht="15.75">
      <c r="A72" s="55">
        <v>66</v>
      </c>
      <c r="B72" s="55">
        <v>90001</v>
      </c>
      <c r="C72" s="114" t="s">
        <v>508</v>
      </c>
      <c r="D72" s="109">
        <v>1698000</v>
      </c>
      <c r="E72" s="109">
        <v>7320</v>
      </c>
      <c r="F72" s="110">
        <f t="shared" si="2"/>
        <v>0.0043109540636042405</v>
      </c>
      <c r="G72" s="111" t="s">
        <v>313</v>
      </c>
      <c r="I72" s="7"/>
      <c r="K72" s="7"/>
    </row>
    <row r="73" spans="1:7" ht="15.75">
      <c r="A73" s="55">
        <v>67</v>
      </c>
      <c r="B73" s="55">
        <v>90004</v>
      </c>
      <c r="C73" s="114" t="s">
        <v>341</v>
      </c>
      <c r="D73" s="109">
        <v>10000</v>
      </c>
      <c r="E73" s="109">
        <v>4500</v>
      </c>
      <c r="F73" s="110">
        <f t="shared" si="2"/>
        <v>0.45</v>
      </c>
      <c r="G73" s="111" t="s">
        <v>313</v>
      </c>
    </row>
    <row r="74" spans="1:7" ht="15.75">
      <c r="A74" s="55">
        <v>68</v>
      </c>
      <c r="B74" s="55">
        <v>90095</v>
      </c>
      <c r="C74" s="114" t="s">
        <v>342</v>
      </c>
      <c r="D74" s="109">
        <v>1052000</v>
      </c>
      <c r="E74" s="109">
        <v>10980</v>
      </c>
      <c r="F74" s="110">
        <f t="shared" si="2"/>
        <v>0.010437262357414448</v>
      </c>
      <c r="G74" s="111" t="s">
        <v>296</v>
      </c>
    </row>
    <row r="75" spans="1:7" ht="15.75">
      <c r="A75" s="55">
        <v>69</v>
      </c>
      <c r="B75" s="55">
        <v>92109</v>
      </c>
      <c r="C75" s="114" t="s">
        <v>343</v>
      </c>
      <c r="D75" s="109">
        <v>570000</v>
      </c>
      <c r="E75" s="109">
        <v>140000</v>
      </c>
      <c r="F75" s="110">
        <f t="shared" si="2"/>
        <v>0.24561403508771928</v>
      </c>
      <c r="G75" s="111" t="s">
        <v>313</v>
      </c>
    </row>
    <row r="76" spans="1:7" ht="15.75">
      <c r="A76" s="55">
        <v>70</v>
      </c>
      <c r="B76" s="55">
        <v>92109</v>
      </c>
      <c r="C76" s="114" t="s">
        <v>510</v>
      </c>
      <c r="D76" s="109">
        <v>150000</v>
      </c>
      <c r="E76" s="113">
        <v>0</v>
      </c>
      <c r="F76" s="110">
        <f>E76/D76</f>
        <v>0</v>
      </c>
      <c r="G76" s="111" t="s">
        <v>313</v>
      </c>
    </row>
    <row r="77" spans="1:7" ht="15.75">
      <c r="A77" s="55">
        <v>71</v>
      </c>
      <c r="B77" s="55">
        <v>92109</v>
      </c>
      <c r="C77" s="114" t="s">
        <v>345</v>
      </c>
      <c r="D77" s="109">
        <v>755000</v>
      </c>
      <c r="E77" s="109">
        <v>24400</v>
      </c>
      <c r="F77" s="110">
        <f t="shared" si="2"/>
        <v>0.032317880794701985</v>
      </c>
      <c r="G77" s="111" t="s">
        <v>298</v>
      </c>
    </row>
    <row r="78" spans="1:7" ht="15.75">
      <c r="A78" s="55">
        <v>72</v>
      </c>
      <c r="B78" s="55">
        <v>92601</v>
      </c>
      <c r="C78" s="114" t="s">
        <v>344</v>
      </c>
      <c r="D78" s="109">
        <v>1000000</v>
      </c>
      <c r="E78" s="109">
        <v>15582.03</v>
      </c>
      <c r="F78" s="110">
        <f t="shared" si="1"/>
        <v>0.01558203</v>
      </c>
      <c r="G78" s="111" t="s">
        <v>296</v>
      </c>
    </row>
    <row r="79" spans="1:7" ht="15.75">
      <c r="A79" s="55">
        <v>73</v>
      </c>
      <c r="B79" s="55">
        <v>92601</v>
      </c>
      <c r="C79" s="114" t="s">
        <v>346</v>
      </c>
      <c r="D79" s="109">
        <v>3000000</v>
      </c>
      <c r="E79" s="109">
        <v>0</v>
      </c>
      <c r="F79" s="110">
        <f t="shared" si="1"/>
        <v>0</v>
      </c>
      <c r="G79" s="111" t="s">
        <v>285</v>
      </c>
    </row>
    <row r="80" spans="1:7" ht="15.75">
      <c r="A80" s="55">
        <v>74</v>
      </c>
      <c r="B80" s="55">
        <v>92601</v>
      </c>
      <c r="C80" s="114" t="s">
        <v>347</v>
      </c>
      <c r="D80" s="109">
        <v>500000</v>
      </c>
      <c r="E80" s="109">
        <v>0</v>
      </c>
      <c r="F80" s="110">
        <f t="shared" si="1"/>
        <v>0</v>
      </c>
      <c r="G80" s="111" t="s">
        <v>298</v>
      </c>
    </row>
    <row r="81" spans="1:7" ht="15.75">
      <c r="A81" s="55">
        <v>75</v>
      </c>
      <c r="B81" s="55">
        <v>92601</v>
      </c>
      <c r="C81" s="114" t="s">
        <v>348</v>
      </c>
      <c r="D81" s="109">
        <v>500000</v>
      </c>
      <c r="E81" s="109">
        <v>0</v>
      </c>
      <c r="F81" s="110">
        <f t="shared" si="1"/>
        <v>0</v>
      </c>
      <c r="G81" s="111" t="s">
        <v>296</v>
      </c>
    </row>
    <row r="82" spans="1:7" ht="15.75">
      <c r="A82" s="5"/>
      <c r="B82" s="5"/>
      <c r="C82" s="106" t="s">
        <v>353</v>
      </c>
      <c r="D82" s="109">
        <f>SUM(D7:D81)</f>
        <v>43015886.08</v>
      </c>
      <c r="E82" s="109">
        <f>SUM(E7:E81)</f>
        <v>5287119.760000001</v>
      </c>
      <c r="F82" s="110">
        <f t="shared" si="1"/>
        <v>0.12291086484112246</v>
      </c>
      <c r="G82" s="112"/>
    </row>
    <row r="83" ht="12.75">
      <c r="F83" s="107"/>
    </row>
    <row r="84" spans="4:6" ht="12.75">
      <c r="D84" s="7"/>
      <c r="E84" s="7"/>
      <c r="F84" s="107"/>
    </row>
    <row r="85" spans="4:5" ht="12.75">
      <c r="D85" s="7"/>
      <c r="E85" s="7"/>
    </row>
    <row r="86" spans="4:5" ht="12.75">
      <c r="D86" s="7"/>
      <c r="E86" s="7"/>
    </row>
    <row r="87" ht="12.75">
      <c r="D87" s="7"/>
    </row>
    <row r="88" ht="12.75">
      <c r="E88" s="7"/>
    </row>
    <row r="90" ht="12.75">
      <c r="E90" s="7"/>
    </row>
  </sheetData>
  <sheetProtection/>
  <mergeCells count="2">
    <mergeCell ref="E5:F5"/>
    <mergeCell ref="A3:G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6"/>
  <sheetViews>
    <sheetView zoomScalePageLayoutView="0" workbookViewId="0" topLeftCell="E169">
      <selection activeCell="E195" sqref="A195:IV195"/>
    </sheetView>
  </sheetViews>
  <sheetFormatPr defaultColWidth="9.00390625" defaultRowHeight="12.75"/>
  <cols>
    <col min="1" max="1" width="5.25390625" style="115" customWidth="1"/>
    <col min="2" max="2" width="8.375" style="115" customWidth="1"/>
    <col min="3" max="3" width="57.375" style="115" customWidth="1"/>
    <col min="4" max="17" width="16.75390625" style="115" customWidth="1"/>
    <col min="18" max="16384" width="9.125" style="115" customWidth="1"/>
  </cols>
  <sheetData>
    <row r="1" spans="1:17" ht="20.25">
      <c r="A1" s="122" t="s">
        <v>604</v>
      </c>
      <c r="Q1" s="136" t="s">
        <v>603</v>
      </c>
    </row>
    <row r="2" ht="15.75">
      <c r="Q2" s="136" t="s">
        <v>605</v>
      </c>
    </row>
    <row r="4" spans="1:17" s="116" customFormat="1" ht="13.5" customHeight="1">
      <c r="A4" s="213" t="s">
        <v>47</v>
      </c>
      <c r="B4" s="213" t="s">
        <v>51</v>
      </c>
      <c r="C4" s="213" t="s">
        <v>44</v>
      </c>
      <c r="D4" s="213" t="s">
        <v>129</v>
      </c>
      <c r="E4" s="213" t="s">
        <v>513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1:17" s="116" customFormat="1" ht="11.25" customHeight="1">
      <c r="A5" s="213"/>
      <c r="B5" s="213"/>
      <c r="C5" s="213"/>
      <c r="D5" s="213"/>
      <c r="E5" s="213" t="s">
        <v>514</v>
      </c>
      <c r="F5" s="213" t="s">
        <v>444</v>
      </c>
      <c r="G5" s="213"/>
      <c r="H5" s="213"/>
      <c r="I5" s="213"/>
      <c r="J5" s="213"/>
      <c r="K5" s="213"/>
      <c r="L5" s="213"/>
      <c r="M5" s="213"/>
      <c r="N5" s="213" t="s">
        <v>515</v>
      </c>
      <c r="O5" s="214" t="s">
        <v>444</v>
      </c>
      <c r="P5" s="214"/>
      <c r="Q5" s="214"/>
    </row>
    <row r="6" spans="1:17" s="116" customFormat="1" ht="2.2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 t="s">
        <v>516</v>
      </c>
      <c r="P6" s="214" t="s">
        <v>128</v>
      </c>
      <c r="Q6" s="215" t="s">
        <v>517</v>
      </c>
    </row>
    <row r="7" spans="1:17" s="116" customFormat="1" ht="9" customHeight="1">
      <c r="A7" s="213"/>
      <c r="B7" s="213"/>
      <c r="C7" s="213"/>
      <c r="D7" s="213"/>
      <c r="E7" s="213"/>
      <c r="F7" s="213" t="s">
        <v>518</v>
      </c>
      <c r="G7" s="213" t="s">
        <v>444</v>
      </c>
      <c r="H7" s="213"/>
      <c r="I7" s="213" t="s">
        <v>519</v>
      </c>
      <c r="J7" s="213" t="s">
        <v>520</v>
      </c>
      <c r="K7" s="214" t="s">
        <v>521</v>
      </c>
      <c r="L7" s="213" t="s">
        <v>522</v>
      </c>
      <c r="M7" s="213" t="s">
        <v>523</v>
      </c>
      <c r="N7" s="213"/>
      <c r="O7" s="213"/>
      <c r="P7" s="214"/>
      <c r="Q7" s="215"/>
    </row>
    <row r="8" spans="1:17" s="116" customFormat="1" ht="5.25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4"/>
      <c r="L8" s="213"/>
      <c r="M8" s="213"/>
      <c r="N8" s="213"/>
      <c r="O8" s="213"/>
      <c r="P8" s="216" t="s">
        <v>524</v>
      </c>
      <c r="Q8" s="215"/>
    </row>
    <row r="9" spans="1:17" s="116" customFormat="1" ht="61.5" customHeight="1">
      <c r="A9" s="213"/>
      <c r="B9" s="213"/>
      <c r="C9" s="213"/>
      <c r="D9" s="213"/>
      <c r="E9" s="213"/>
      <c r="F9" s="213"/>
      <c r="G9" s="129" t="s">
        <v>525</v>
      </c>
      <c r="H9" s="129" t="s">
        <v>526</v>
      </c>
      <c r="I9" s="213"/>
      <c r="J9" s="213"/>
      <c r="K9" s="214"/>
      <c r="L9" s="213"/>
      <c r="M9" s="213"/>
      <c r="N9" s="213"/>
      <c r="O9" s="213"/>
      <c r="P9" s="217"/>
      <c r="Q9" s="215"/>
    </row>
    <row r="10" spans="1:17" ht="11.25" customHeight="1">
      <c r="A10" s="119" t="s">
        <v>527</v>
      </c>
      <c r="B10" s="119" t="s">
        <v>528</v>
      </c>
      <c r="C10" s="119" t="s">
        <v>529</v>
      </c>
      <c r="D10" s="119" t="s">
        <v>530</v>
      </c>
      <c r="E10" s="119" t="s">
        <v>531</v>
      </c>
      <c r="F10" s="119" t="s">
        <v>532</v>
      </c>
      <c r="G10" s="119" t="s">
        <v>533</v>
      </c>
      <c r="H10" s="119" t="s">
        <v>534</v>
      </c>
      <c r="I10" s="119" t="s">
        <v>535</v>
      </c>
      <c r="J10" s="119" t="s">
        <v>536</v>
      </c>
      <c r="K10" s="119" t="s">
        <v>537</v>
      </c>
      <c r="L10" s="119" t="s">
        <v>538</v>
      </c>
      <c r="M10" s="119" t="s">
        <v>539</v>
      </c>
      <c r="N10" s="119" t="s">
        <v>540</v>
      </c>
      <c r="O10" s="119" t="s">
        <v>541</v>
      </c>
      <c r="P10" s="135" t="s">
        <v>542</v>
      </c>
      <c r="Q10" s="119" t="s">
        <v>543</v>
      </c>
    </row>
    <row r="11" spans="1:17" s="120" customFormat="1" ht="13.5" customHeight="1">
      <c r="A11" s="130" t="s">
        <v>6</v>
      </c>
      <c r="B11" s="130"/>
      <c r="C11" s="131" t="s">
        <v>9</v>
      </c>
      <c r="D11" s="123">
        <f>D13+D15+D17</f>
        <v>207417.3</v>
      </c>
      <c r="E11" s="123">
        <f aca="true" t="shared" si="0" ref="E11:Q12">E13+E15+E17</f>
        <v>207417.3</v>
      </c>
      <c r="F11" s="123">
        <f t="shared" si="0"/>
        <v>178417.3</v>
      </c>
      <c r="G11" s="123">
        <f t="shared" si="0"/>
        <v>1300</v>
      </c>
      <c r="H11" s="123">
        <f t="shared" si="0"/>
        <v>177117.3</v>
      </c>
      <c r="I11" s="123">
        <f t="shared" si="0"/>
        <v>29000</v>
      </c>
      <c r="J11" s="123">
        <f t="shared" si="0"/>
        <v>0</v>
      </c>
      <c r="K11" s="123">
        <f t="shared" si="0"/>
        <v>0</v>
      </c>
      <c r="L11" s="123">
        <f t="shared" si="0"/>
        <v>0</v>
      </c>
      <c r="M11" s="123">
        <f t="shared" si="0"/>
        <v>0</v>
      </c>
      <c r="N11" s="123">
        <f t="shared" si="0"/>
        <v>0</v>
      </c>
      <c r="O11" s="123">
        <f t="shared" si="0"/>
        <v>0</v>
      </c>
      <c r="P11" s="123">
        <f t="shared" si="0"/>
        <v>0</v>
      </c>
      <c r="Q11" s="123">
        <f t="shared" si="0"/>
        <v>0</v>
      </c>
    </row>
    <row r="12" spans="1:17" s="120" customFormat="1" ht="13.5" customHeight="1">
      <c r="A12" s="130"/>
      <c r="B12" s="130"/>
      <c r="C12" s="132">
        <f>D12/D11</f>
        <v>0.5357500073523279</v>
      </c>
      <c r="D12" s="124">
        <f>D14+D16+D18</f>
        <v>111123.82</v>
      </c>
      <c r="E12" s="124">
        <f t="shared" si="0"/>
        <v>111123.82</v>
      </c>
      <c r="F12" s="124">
        <f t="shared" si="0"/>
        <v>110132.82</v>
      </c>
      <c r="G12" s="124">
        <f t="shared" si="0"/>
        <v>1300</v>
      </c>
      <c r="H12" s="124">
        <f t="shared" si="0"/>
        <v>108832.82</v>
      </c>
      <c r="I12" s="124">
        <f t="shared" si="0"/>
        <v>991</v>
      </c>
      <c r="J12" s="124">
        <f t="shared" si="0"/>
        <v>0</v>
      </c>
      <c r="K12" s="124">
        <f t="shared" si="0"/>
        <v>0</v>
      </c>
      <c r="L12" s="124">
        <f t="shared" si="0"/>
        <v>0</v>
      </c>
      <c r="M12" s="124">
        <f t="shared" si="0"/>
        <v>0</v>
      </c>
      <c r="N12" s="124">
        <f t="shared" si="0"/>
        <v>0</v>
      </c>
      <c r="O12" s="124">
        <f t="shared" si="0"/>
        <v>0</v>
      </c>
      <c r="P12" s="124">
        <f t="shared" si="0"/>
        <v>0</v>
      </c>
      <c r="Q12" s="124">
        <f t="shared" si="0"/>
        <v>0</v>
      </c>
    </row>
    <row r="13" spans="1:17" s="121" customFormat="1" ht="13.5" customHeight="1">
      <c r="A13" s="129"/>
      <c r="B13" s="129" t="s">
        <v>7</v>
      </c>
      <c r="C13" s="133" t="s">
        <v>105</v>
      </c>
      <c r="D13" s="125">
        <f aca="true" t="shared" si="1" ref="D13:D18">E13+N13</f>
        <v>78000</v>
      </c>
      <c r="E13" s="125">
        <f aca="true" t="shared" si="2" ref="E13:E18">F13+I13+J13+K13+L13+M13</f>
        <v>78000</v>
      </c>
      <c r="F13" s="126">
        <v>78000</v>
      </c>
      <c r="G13" s="126">
        <v>0</v>
      </c>
      <c r="H13" s="126">
        <v>78000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7">
        <f aca="true" t="shared" si="3" ref="N13:N18">O13+Q13</f>
        <v>0</v>
      </c>
      <c r="O13" s="126">
        <v>0</v>
      </c>
      <c r="P13" s="128">
        <v>0</v>
      </c>
      <c r="Q13" s="126">
        <v>0</v>
      </c>
    </row>
    <row r="14" spans="1:17" s="121" customFormat="1" ht="13.5" customHeight="1">
      <c r="A14" s="129"/>
      <c r="B14" s="129"/>
      <c r="C14" s="134">
        <f>D14/D13</f>
        <v>0.19284884615384615</v>
      </c>
      <c r="D14" s="125">
        <f t="shared" si="1"/>
        <v>15042.21</v>
      </c>
      <c r="E14" s="125">
        <f t="shared" si="2"/>
        <v>15042.21</v>
      </c>
      <c r="F14" s="126">
        <v>15042.21</v>
      </c>
      <c r="G14" s="126">
        <v>0</v>
      </c>
      <c r="H14" s="126">
        <v>15042.21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7">
        <f t="shared" si="3"/>
        <v>0</v>
      </c>
      <c r="O14" s="126">
        <v>0</v>
      </c>
      <c r="P14" s="128">
        <v>0</v>
      </c>
      <c r="Q14" s="126">
        <v>0</v>
      </c>
    </row>
    <row r="15" spans="1:17" s="121" customFormat="1" ht="13.5" customHeight="1">
      <c r="A15" s="129"/>
      <c r="B15" s="129" t="s">
        <v>66</v>
      </c>
      <c r="C15" s="133" t="s">
        <v>67</v>
      </c>
      <c r="D15" s="125">
        <f t="shared" si="1"/>
        <v>8000</v>
      </c>
      <c r="E15" s="125">
        <f t="shared" si="2"/>
        <v>8000</v>
      </c>
      <c r="F15" s="126">
        <v>8000</v>
      </c>
      <c r="G15" s="126">
        <v>0</v>
      </c>
      <c r="H15" s="126">
        <v>8000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7">
        <f t="shared" si="3"/>
        <v>0</v>
      </c>
      <c r="O15" s="126">
        <v>0</v>
      </c>
      <c r="P15" s="128">
        <v>0</v>
      </c>
      <c r="Q15" s="126">
        <v>0</v>
      </c>
    </row>
    <row r="16" spans="1:17" s="121" customFormat="1" ht="13.5" customHeight="1">
      <c r="A16" s="129"/>
      <c r="B16" s="129"/>
      <c r="C16" s="134">
        <f>D16/D15</f>
        <v>0.33416375</v>
      </c>
      <c r="D16" s="125">
        <f t="shared" si="1"/>
        <v>2673.31</v>
      </c>
      <c r="E16" s="125">
        <f t="shared" si="2"/>
        <v>2673.31</v>
      </c>
      <c r="F16" s="126">
        <v>2673.31</v>
      </c>
      <c r="G16" s="126">
        <v>0</v>
      </c>
      <c r="H16" s="126">
        <v>2673.31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7">
        <f t="shared" si="3"/>
        <v>0</v>
      </c>
      <c r="O16" s="126">
        <v>0</v>
      </c>
      <c r="P16" s="128">
        <v>0</v>
      </c>
      <c r="Q16" s="126">
        <v>0</v>
      </c>
    </row>
    <row r="17" spans="1:17" s="121" customFormat="1" ht="13.5" customHeight="1">
      <c r="A17" s="129"/>
      <c r="B17" s="129" t="s">
        <v>8</v>
      </c>
      <c r="C17" s="133" t="s">
        <v>54</v>
      </c>
      <c r="D17" s="125">
        <f t="shared" si="1"/>
        <v>121417.3</v>
      </c>
      <c r="E17" s="125">
        <f t="shared" si="2"/>
        <v>121417.3</v>
      </c>
      <c r="F17" s="126">
        <v>92417.3</v>
      </c>
      <c r="G17" s="126">
        <v>1300</v>
      </c>
      <c r="H17" s="126">
        <v>91117.3</v>
      </c>
      <c r="I17" s="126">
        <v>29000</v>
      </c>
      <c r="J17" s="126">
        <v>0</v>
      </c>
      <c r="K17" s="126">
        <v>0</v>
      </c>
      <c r="L17" s="126">
        <v>0</v>
      </c>
      <c r="M17" s="126">
        <v>0</v>
      </c>
      <c r="N17" s="127">
        <f t="shared" si="3"/>
        <v>0</v>
      </c>
      <c r="O17" s="126">
        <v>0</v>
      </c>
      <c r="P17" s="128">
        <v>0</v>
      </c>
      <c r="Q17" s="126">
        <v>0</v>
      </c>
    </row>
    <row r="18" spans="1:17" s="121" customFormat="1" ht="13.5" customHeight="1">
      <c r="A18" s="129"/>
      <c r="B18" s="129"/>
      <c r="C18" s="134">
        <f>D18/D17</f>
        <v>0.769316234177502</v>
      </c>
      <c r="D18" s="125">
        <f t="shared" si="1"/>
        <v>93408.3</v>
      </c>
      <c r="E18" s="125">
        <f t="shared" si="2"/>
        <v>93408.3</v>
      </c>
      <c r="F18" s="126">
        <f>93408.3-I18</f>
        <v>92417.3</v>
      </c>
      <c r="G18" s="126">
        <v>1300</v>
      </c>
      <c r="H18" s="126">
        <v>91117.3</v>
      </c>
      <c r="I18" s="126">
        <v>991</v>
      </c>
      <c r="J18" s="126"/>
      <c r="K18" s="126">
        <v>0</v>
      </c>
      <c r="L18" s="126">
        <v>0</v>
      </c>
      <c r="M18" s="126">
        <v>0</v>
      </c>
      <c r="N18" s="127">
        <f t="shared" si="3"/>
        <v>0</v>
      </c>
      <c r="O18" s="126">
        <v>0</v>
      </c>
      <c r="P18" s="128">
        <v>0</v>
      </c>
      <c r="Q18" s="126">
        <v>0</v>
      </c>
    </row>
    <row r="19" spans="1:17" s="120" customFormat="1" ht="13.5" customHeight="1">
      <c r="A19" s="130" t="s">
        <v>114</v>
      </c>
      <c r="B19" s="130"/>
      <c r="C19" s="131" t="s">
        <v>116</v>
      </c>
      <c r="D19" s="124">
        <f>D21</f>
        <v>1209412</v>
      </c>
      <c r="E19" s="124">
        <f aca="true" t="shared" si="4" ref="E19:Q20">E21</f>
        <v>10000</v>
      </c>
      <c r="F19" s="123">
        <f t="shared" si="4"/>
        <v>10000</v>
      </c>
      <c r="G19" s="123">
        <f t="shared" si="4"/>
        <v>0</v>
      </c>
      <c r="H19" s="123">
        <f t="shared" si="4"/>
        <v>10000</v>
      </c>
      <c r="I19" s="123">
        <f t="shared" si="4"/>
        <v>0</v>
      </c>
      <c r="J19" s="123">
        <f t="shared" si="4"/>
        <v>0</v>
      </c>
      <c r="K19" s="123">
        <f t="shared" si="4"/>
        <v>0</v>
      </c>
      <c r="L19" s="123">
        <f t="shared" si="4"/>
        <v>0</v>
      </c>
      <c r="M19" s="123">
        <f t="shared" si="4"/>
        <v>0</v>
      </c>
      <c r="N19" s="123">
        <f t="shared" si="4"/>
        <v>1199412</v>
      </c>
      <c r="O19" s="123">
        <f t="shared" si="4"/>
        <v>1199412</v>
      </c>
      <c r="P19" s="123">
        <f t="shared" si="4"/>
        <v>969412</v>
      </c>
      <c r="Q19" s="123">
        <f t="shared" si="4"/>
        <v>0</v>
      </c>
    </row>
    <row r="20" spans="1:17" s="120" customFormat="1" ht="13.5" customHeight="1">
      <c r="A20" s="130"/>
      <c r="B20" s="130"/>
      <c r="C20" s="132">
        <f>D20/D19</f>
        <v>0.012199482062357577</v>
      </c>
      <c r="D20" s="124">
        <f>D22</f>
        <v>14754.2</v>
      </c>
      <c r="E20" s="124">
        <f t="shared" si="4"/>
        <v>149.85</v>
      </c>
      <c r="F20" s="123">
        <f t="shared" si="4"/>
        <v>149.85</v>
      </c>
      <c r="G20" s="123">
        <f t="shared" si="4"/>
        <v>0</v>
      </c>
      <c r="H20" s="123">
        <f t="shared" si="4"/>
        <v>149.85</v>
      </c>
      <c r="I20" s="123">
        <f t="shared" si="4"/>
        <v>0</v>
      </c>
      <c r="J20" s="123">
        <f t="shared" si="4"/>
        <v>0</v>
      </c>
      <c r="K20" s="123">
        <f t="shared" si="4"/>
        <v>0</v>
      </c>
      <c r="L20" s="123">
        <f t="shared" si="4"/>
        <v>0</v>
      </c>
      <c r="M20" s="123">
        <f t="shared" si="4"/>
        <v>0</v>
      </c>
      <c r="N20" s="123">
        <f>N22</f>
        <v>14604.35</v>
      </c>
      <c r="O20" s="123">
        <f t="shared" si="4"/>
        <v>14604.35</v>
      </c>
      <c r="P20" s="123">
        <f t="shared" si="4"/>
        <v>14604.35</v>
      </c>
      <c r="Q20" s="123">
        <f t="shared" si="4"/>
        <v>0</v>
      </c>
    </row>
    <row r="21" spans="1:17" s="121" customFormat="1" ht="13.5" customHeight="1">
      <c r="A21" s="129"/>
      <c r="B21" s="129" t="s">
        <v>115</v>
      </c>
      <c r="C21" s="133" t="s">
        <v>272</v>
      </c>
      <c r="D21" s="125">
        <f>E21+N21</f>
        <v>1209412</v>
      </c>
      <c r="E21" s="125">
        <f>F21+I21+J21+K21+L21+M21</f>
        <v>10000</v>
      </c>
      <c r="F21" s="126">
        <v>10000</v>
      </c>
      <c r="G21" s="126">
        <v>0</v>
      </c>
      <c r="H21" s="126">
        <v>10000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7">
        <f>O21+Q21</f>
        <v>1199412</v>
      </c>
      <c r="O21" s="126">
        <v>1199412</v>
      </c>
      <c r="P21" s="128">
        <v>969412</v>
      </c>
      <c r="Q21" s="126">
        <v>0</v>
      </c>
    </row>
    <row r="22" spans="1:17" s="121" customFormat="1" ht="13.5" customHeight="1">
      <c r="A22" s="129"/>
      <c r="B22" s="129"/>
      <c r="C22" s="134">
        <f>D22/D21</f>
        <v>0.012199482062357577</v>
      </c>
      <c r="D22" s="125">
        <f>E22+N22</f>
        <v>14754.2</v>
      </c>
      <c r="E22" s="125">
        <f>F22+I22+J22+K22+L22+M22</f>
        <v>149.85</v>
      </c>
      <c r="F22" s="126">
        <v>149.85</v>
      </c>
      <c r="G22" s="126">
        <v>0</v>
      </c>
      <c r="H22" s="126">
        <v>149.85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7">
        <f>O22+Q22</f>
        <v>14604.35</v>
      </c>
      <c r="O22" s="126">
        <v>14604.35</v>
      </c>
      <c r="P22" s="128">
        <v>14604.35</v>
      </c>
      <c r="Q22" s="126">
        <v>0</v>
      </c>
    </row>
    <row r="23" spans="1:17" s="120" customFormat="1" ht="13.5" customHeight="1">
      <c r="A23" s="130" t="s">
        <v>544</v>
      </c>
      <c r="B23" s="130"/>
      <c r="C23" s="131" t="s">
        <v>111</v>
      </c>
      <c r="D23" s="124">
        <f>D25</f>
        <v>3661000</v>
      </c>
      <c r="E23" s="124">
        <f aca="true" t="shared" si="5" ref="E23:Q24">E25</f>
        <v>381000</v>
      </c>
      <c r="F23" s="123">
        <f t="shared" si="5"/>
        <v>381000</v>
      </c>
      <c r="G23" s="123">
        <f t="shared" si="5"/>
        <v>0</v>
      </c>
      <c r="H23" s="123">
        <f t="shared" si="5"/>
        <v>381000</v>
      </c>
      <c r="I23" s="123">
        <f t="shared" si="5"/>
        <v>0</v>
      </c>
      <c r="J23" s="123">
        <f t="shared" si="5"/>
        <v>0</v>
      </c>
      <c r="K23" s="123">
        <f t="shared" si="5"/>
        <v>0</v>
      </c>
      <c r="L23" s="123">
        <f t="shared" si="5"/>
        <v>0</v>
      </c>
      <c r="M23" s="123">
        <f t="shared" si="5"/>
        <v>0</v>
      </c>
      <c r="N23" s="123">
        <f t="shared" si="5"/>
        <v>3280000</v>
      </c>
      <c r="O23" s="123">
        <f t="shared" si="5"/>
        <v>3280000</v>
      </c>
      <c r="P23" s="123">
        <f t="shared" si="5"/>
        <v>0</v>
      </c>
      <c r="Q23" s="123">
        <f t="shared" si="5"/>
        <v>0</v>
      </c>
    </row>
    <row r="24" spans="1:17" s="120" customFormat="1" ht="13.5" customHeight="1">
      <c r="A24" s="130"/>
      <c r="B24" s="130"/>
      <c r="C24" s="132">
        <f>D24/D23</f>
        <v>0.051339095875443864</v>
      </c>
      <c r="D24" s="124">
        <f>D26</f>
        <v>187952.43</v>
      </c>
      <c r="E24" s="124">
        <f t="shared" si="5"/>
        <v>71309.11</v>
      </c>
      <c r="F24" s="123">
        <f t="shared" si="5"/>
        <v>71309.11</v>
      </c>
      <c r="G24" s="123">
        <f t="shared" si="5"/>
        <v>0</v>
      </c>
      <c r="H24" s="123">
        <f t="shared" si="5"/>
        <v>71309.11</v>
      </c>
      <c r="I24" s="123">
        <f t="shared" si="5"/>
        <v>0</v>
      </c>
      <c r="J24" s="123">
        <f t="shared" si="5"/>
        <v>0</v>
      </c>
      <c r="K24" s="123">
        <f t="shared" si="5"/>
        <v>0</v>
      </c>
      <c r="L24" s="123">
        <f t="shared" si="5"/>
        <v>0</v>
      </c>
      <c r="M24" s="123">
        <f t="shared" si="5"/>
        <v>0</v>
      </c>
      <c r="N24" s="123">
        <f t="shared" si="5"/>
        <v>116643.32</v>
      </c>
      <c r="O24" s="123">
        <f t="shared" si="5"/>
        <v>116643.32</v>
      </c>
      <c r="P24" s="123">
        <f t="shared" si="5"/>
        <v>0</v>
      </c>
      <c r="Q24" s="123">
        <f t="shared" si="5"/>
        <v>0</v>
      </c>
    </row>
    <row r="25" spans="1:17" s="121" customFormat="1" ht="13.5" customHeight="1">
      <c r="A25" s="129"/>
      <c r="B25" s="129" t="s">
        <v>545</v>
      </c>
      <c r="C25" s="133" t="s">
        <v>98</v>
      </c>
      <c r="D25" s="125">
        <f>E25+N25</f>
        <v>3661000</v>
      </c>
      <c r="E25" s="125">
        <f>F25+I25+J25+K25+L25+M25</f>
        <v>381000</v>
      </c>
      <c r="F25" s="126">
        <v>381000</v>
      </c>
      <c r="G25" s="126">
        <v>0</v>
      </c>
      <c r="H25" s="126">
        <v>381000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7">
        <f>O25+Q25</f>
        <v>3280000</v>
      </c>
      <c r="O25" s="126">
        <v>3280000</v>
      </c>
      <c r="P25" s="128">
        <v>0</v>
      </c>
      <c r="Q25" s="126">
        <v>0</v>
      </c>
    </row>
    <row r="26" spans="1:17" s="121" customFormat="1" ht="13.5" customHeight="1">
      <c r="A26" s="129"/>
      <c r="B26" s="129"/>
      <c r="C26" s="134">
        <f>D26/D25</f>
        <v>0.051339095875443864</v>
      </c>
      <c r="D26" s="125">
        <f>E26+N26</f>
        <v>187952.43</v>
      </c>
      <c r="E26" s="125">
        <f>F26+I26+J26+K26+L26+M26</f>
        <v>71309.11</v>
      </c>
      <c r="F26" s="126">
        <f>49099.56+22209.55</f>
        <v>71309.11</v>
      </c>
      <c r="G26" s="126">
        <v>0</v>
      </c>
      <c r="H26" s="126">
        <v>71309.11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7">
        <f>O26+Q26</f>
        <v>116643.32</v>
      </c>
      <c r="O26" s="126">
        <v>116643.32</v>
      </c>
      <c r="P26" s="128">
        <v>0</v>
      </c>
      <c r="Q26" s="126">
        <v>0</v>
      </c>
    </row>
    <row r="27" spans="1:17" s="120" customFormat="1" ht="13.5" customHeight="1">
      <c r="A27" s="130" t="s">
        <v>11</v>
      </c>
      <c r="B27" s="130"/>
      <c r="C27" s="131" t="s">
        <v>10</v>
      </c>
      <c r="D27" s="124">
        <f>D29+D31+D33+D35+D37</f>
        <v>7878820.51</v>
      </c>
      <c r="E27" s="124">
        <f aca="true" t="shared" si="6" ref="E27:Q28">E29+E31+E33+E35+E37</f>
        <v>892120.51</v>
      </c>
      <c r="F27" s="123">
        <f t="shared" si="6"/>
        <v>892120.51</v>
      </c>
      <c r="G27" s="123">
        <f t="shared" si="6"/>
        <v>16000</v>
      </c>
      <c r="H27" s="123">
        <f t="shared" si="6"/>
        <v>876120.51</v>
      </c>
      <c r="I27" s="123">
        <f t="shared" si="6"/>
        <v>0</v>
      </c>
      <c r="J27" s="123">
        <f t="shared" si="6"/>
        <v>0</v>
      </c>
      <c r="K27" s="123">
        <f t="shared" si="6"/>
        <v>0</v>
      </c>
      <c r="L27" s="123">
        <f t="shared" si="6"/>
        <v>0</v>
      </c>
      <c r="M27" s="123">
        <f t="shared" si="6"/>
        <v>0</v>
      </c>
      <c r="N27" s="123">
        <f t="shared" si="6"/>
        <v>6986700</v>
      </c>
      <c r="O27" s="123">
        <f t="shared" si="6"/>
        <v>6986700</v>
      </c>
      <c r="P27" s="123">
        <f t="shared" si="6"/>
        <v>0</v>
      </c>
      <c r="Q27" s="123">
        <f t="shared" si="6"/>
        <v>0</v>
      </c>
    </row>
    <row r="28" spans="1:17" s="120" customFormat="1" ht="13.5" customHeight="1">
      <c r="A28" s="130"/>
      <c r="B28" s="130"/>
      <c r="C28" s="132">
        <f>D28/D27</f>
        <v>0.0990973469961686</v>
      </c>
      <c r="D28" s="124">
        <f>D30+D32+D34+D36+D38</f>
        <v>780770.21</v>
      </c>
      <c r="E28" s="124">
        <f t="shared" si="6"/>
        <v>33599.06000000003</v>
      </c>
      <c r="F28" s="123">
        <f t="shared" si="6"/>
        <v>33599.06000000003</v>
      </c>
      <c r="G28" s="123">
        <f t="shared" si="6"/>
        <v>3347.19</v>
      </c>
      <c r="H28" s="123">
        <f t="shared" si="6"/>
        <v>30251.87000000002</v>
      </c>
      <c r="I28" s="123">
        <f t="shared" si="6"/>
        <v>0</v>
      </c>
      <c r="J28" s="123">
        <f t="shared" si="6"/>
        <v>0</v>
      </c>
      <c r="K28" s="123">
        <f t="shared" si="6"/>
        <v>0</v>
      </c>
      <c r="L28" s="123">
        <f t="shared" si="6"/>
        <v>0</v>
      </c>
      <c r="M28" s="123">
        <f t="shared" si="6"/>
        <v>0</v>
      </c>
      <c r="N28" s="123">
        <f t="shared" si="6"/>
        <v>747171.15</v>
      </c>
      <c r="O28" s="123">
        <f t="shared" si="6"/>
        <v>747171.15</v>
      </c>
      <c r="P28" s="123">
        <f t="shared" si="6"/>
        <v>0</v>
      </c>
      <c r="Q28" s="123">
        <f t="shared" si="6"/>
        <v>0</v>
      </c>
    </row>
    <row r="29" spans="1:17" s="121" customFormat="1" ht="13.5" customHeight="1">
      <c r="A29" s="129"/>
      <c r="B29" s="129" t="s">
        <v>546</v>
      </c>
      <c r="C29" s="133" t="s">
        <v>100</v>
      </c>
      <c r="D29" s="125">
        <f>E29+N29</f>
        <v>72561.91</v>
      </c>
      <c r="E29" s="125">
        <f>F29+I29+J29+K29+L29+M29</f>
        <v>72561.91</v>
      </c>
      <c r="F29" s="126">
        <v>72561.91</v>
      </c>
      <c r="G29" s="126">
        <v>2500</v>
      </c>
      <c r="H29" s="126">
        <v>70061.91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7">
        <f>O29+Q29</f>
        <v>0</v>
      </c>
      <c r="O29" s="126">
        <v>0</v>
      </c>
      <c r="P29" s="128">
        <v>0</v>
      </c>
      <c r="Q29" s="126">
        <v>0</v>
      </c>
    </row>
    <row r="30" spans="1:17" s="121" customFormat="1" ht="13.5" customHeight="1">
      <c r="A30" s="129"/>
      <c r="B30" s="129"/>
      <c r="C30" s="134">
        <f>D30/D29</f>
        <v>0.06967581200660236</v>
      </c>
      <c r="D30" s="125">
        <f>E30+N30</f>
        <v>5055.81</v>
      </c>
      <c r="E30" s="125">
        <f>F30+I30+J30+K30+L30+M30</f>
        <v>5055.81</v>
      </c>
      <c r="F30" s="126">
        <v>5055.81</v>
      </c>
      <c r="G30" s="126">
        <f>0</f>
        <v>0</v>
      </c>
      <c r="H30" s="126">
        <v>5055.81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7">
        <f>O30+Q30</f>
        <v>0</v>
      </c>
      <c r="O30" s="126">
        <v>0</v>
      </c>
      <c r="P30" s="128">
        <v>0</v>
      </c>
      <c r="Q30" s="126">
        <v>0</v>
      </c>
    </row>
    <row r="31" spans="1:17" s="121" customFormat="1" ht="13.5" customHeight="1">
      <c r="A31" s="129"/>
      <c r="B31" s="129" t="s">
        <v>547</v>
      </c>
      <c r="C31" s="133" t="s">
        <v>136</v>
      </c>
      <c r="D31" s="125">
        <f aca="true" t="shared" si="7" ref="D31:D37">E31+N31</f>
        <v>107000</v>
      </c>
      <c r="E31" s="125">
        <f aca="true" t="shared" si="8" ref="E31:E37">F31+I31+J31+K31+L31+M31</f>
        <v>7000</v>
      </c>
      <c r="F31" s="126">
        <v>7000</v>
      </c>
      <c r="G31" s="126">
        <v>0</v>
      </c>
      <c r="H31" s="126">
        <v>7000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7">
        <f>O31+Q31</f>
        <v>100000</v>
      </c>
      <c r="O31" s="126">
        <v>100000</v>
      </c>
      <c r="P31" s="128">
        <v>0</v>
      </c>
      <c r="Q31" s="126">
        <v>0</v>
      </c>
    </row>
    <row r="32" spans="1:17" s="121" customFormat="1" ht="13.5" customHeight="1">
      <c r="A32" s="129"/>
      <c r="B32" s="129"/>
      <c r="C32" s="134">
        <f>D32/D31</f>
        <v>0.005815140186915888</v>
      </c>
      <c r="D32" s="125">
        <f>E32+N32</f>
        <v>622.22</v>
      </c>
      <c r="E32" s="125">
        <f>F32+I32+J32+K32+L32+M32</f>
        <v>622.22</v>
      </c>
      <c r="F32" s="126">
        <v>622.22</v>
      </c>
      <c r="G32" s="126">
        <v>0</v>
      </c>
      <c r="H32" s="126">
        <v>622.22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7">
        <f>O32+Q32</f>
        <v>0</v>
      </c>
      <c r="O32" s="126">
        <v>0</v>
      </c>
      <c r="P32" s="128">
        <v>0</v>
      </c>
      <c r="Q32" s="126">
        <v>0</v>
      </c>
    </row>
    <row r="33" spans="1:17" s="121" customFormat="1" ht="13.5" customHeight="1">
      <c r="A33" s="129"/>
      <c r="B33" s="129" t="s">
        <v>548</v>
      </c>
      <c r="C33" s="133" t="s">
        <v>256</v>
      </c>
      <c r="D33" s="125">
        <f t="shared" si="7"/>
        <v>445200</v>
      </c>
      <c r="E33" s="125">
        <f t="shared" si="8"/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7">
        <f aca="true" t="shared" si="9" ref="N33:N44">O33+Q33</f>
        <v>445200</v>
      </c>
      <c r="O33" s="126">
        <v>445200</v>
      </c>
      <c r="P33" s="128">
        <v>0</v>
      </c>
      <c r="Q33" s="126">
        <v>0</v>
      </c>
    </row>
    <row r="34" spans="1:17" s="121" customFormat="1" ht="13.5" customHeight="1">
      <c r="A34" s="129"/>
      <c r="B34" s="129"/>
      <c r="C34" s="134">
        <f>D34/D33</f>
        <v>0.00044231805929919135</v>
      </c>
      <c r="D34" s="125">
        <f>E34+N34</f>
        <v>196.92</v>
      </c>
      <c r="E34" s="125">
        <f>F34+I34+J34+K34+L34+M34</f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7">
        <f t="shared" si="9"/>
        <v>196.92</v>
      </c>
      <c r="O34" s="126">
        <v>196.92</v>
      </c>
      <c r="P34" s="128">
        <v>0</v>
      </c>
      <c r="Q34" s="126">
        <v>0</v>
      </c>
    </row>
    <row r="35" spans="1:17" s="121" customFormat="1" ht="13.5" customHeight="1">
      <c r="A35" s="129"/>
      <c r="B35" s="129" t="s">
        <v>250</v>
      </c>
      <c r="C35" s="133" t="s">
        <v>55</v>
      </c>
      <c r="D35" s="125">
        <f t="shared" si="7"/>
        <v>5721959.6</v>
      </c>
      <c r="E35" s="125">
        <f t="shared" si="8"/>
        <v>780459.6</v>
      </c>
      <c r="F35" s="126">
        <v>780459.6</v>
      </c>
      <c r="G35" s="126">
        <v>13500</v>
      </c>
      <c r="H35" s="126">
        <v>766959.6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7">
        <f t="shared" si="9"/>
        <v>4941500</v>
      </c>
      <c r="O35" s="126">
        <v>4941500</v>
      </c>
      <c r="P35" s="128">
        <v>0</v>
      </c>
      <c r="Q35" s="126">
        <v>0</v>
      </c>
    </row>
    <row r="36" spans="1:17" s="121" customFormat="1" ht="13.5" customHeight="1">
      <c r="A36" s="129"/>
      <c r="B36" s="129"/>
      <c r="C36" s="134">
        <f>D36/D35</f>
        <v>0.12670116545387702</v>
      </c>
      <c r="D36" s="125">
        <f>E36+N36</f>
        <v>724978.95</v>
      </c>
      <c r="E36" s="125">
        <f>F36+I36+J36+K36+L36+M36</f>
        <v>21595.840000000022</v>
      </c>
      <c r="F36" s="126">
        <f>G36+H36</f>
        <v>21595.840000000022</v>
      </c>
      <c r="G36" s="126">
        <f>238.05+3109.14</f>
        <v>3347.19</v>
      </c>
      <c r="H36" s="126">
        <f>724978.95-G36-O36</f>
        <v>18248.650000000023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  <c r="N36" s="127">
        <f t="shared" si="9"/>
        <v>703383.11</v>
      </c>
      <c r="O36" s="126">
        <v>703383.11</v>
      </c>
      <c r="P36" s="128">
        <v>0</v>
      </c>
      <c r="Q36" s="126">
        <v>0</v>
      </c>
    </row>
    <row r="37" spans="1:17" s="121" customFormat="1" ht="13.5" customHeight="1">
      <c r="A37" s="129"/>
      <c r="B37" s="129" t="s">
        <v>146</v>
      </c>
      <c r="C37" s="133" t="s">
        <v>104</v>
      </c>
      <c r="D37" s="125">
        <f t="shared" si="7"/>
        <v>1532099</v>
      </c>
      <c r="E37" s="125">
        <f t="shared" si="8"/>
        <v>32099</v>
      </c>
      <c r="F37" s="126">
        <v>32099</v>
      </c>
      <c r="G37" s="126">
        <v>0</v>
      </c>
      <c r="H37" s="126">
        <v>32099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27">
        <f t="shared" si="9"/>
        <v>1500000</v>
      </c>
      <c r="O37" s="126">
        <v>1500000</v>
      </c>
      <c r="P37" s="128">
        <v>0</v>
      </c>
      <c r="Q37" s="126">
        <v>0</v>
      </c>
    </row>
    <row r="38" spans="1:17" s="121" customFormat="1" ht="13.5" customHeight="1">
      <c r="A38" s="129"/>
      <c r="B38" s="129"/>
      <c r="C38" s="134">
        <f>D38/D37</f>
        <v>0.032580342393017686</v>
      </c>
      <c r="D38" s="125">
        <f>E38+N38</f>
        <v>49916.310000000005</v>
      </c>
      <c r="E38" s="125">
        <f>F38+I38+J38+K38+L38+M38</f>
        <v>6325.19</v>
      </c>
      <c r="F38" s="126">
        <f>1054.25+350+4920.94</f>
        <v>6325.19</v>
      </c>
      <c r="G38" s="126">
        <v>0</v>
      </c>
      <c r="H38" s="126">
        <v>6325.19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7">
        <f t="shared" si="9"/>
        <v>43591.12</v>
      </c>
      <c r="O38" s="126">
        <v>43591.12</v>
      </c>
      <c r="P38" s="128">
        <v>0</v>
      </c>
      <c r="Q38" s="126">
        <v>0</v>
      </c>
    </row>
    <row r="39" spans="1:17" s="120" customFormat="1" ht="13.5" customHeight="1">
      <c r="A39" s="130" t="s">
        <v>17</v>
      </c>
      <c r="B39" s="130"/>
      <c r="C39" s="131" t="s">
        <v>71</v>
      </c>
      <c r="D39" s="124">
        <f>D41+D43</f>
        <v>8774223</v>
      </c>
      <c r="E39" s="124">
        <f>E41+E43</f>
        <v>97500</v>
      </c>
      <c r="F39" s="123">
        <f aca="true" t="shared" si="10" ref="F39:Q40">F41+F43</f>
        <v>82500</v>
      </c>
      <c r="G39" s="123">
        <f t="shared" si="10"/>
        <v>16500</v>
      </c>
      <c r="H39" s="123">
        <f t="shared" si="10"/>
        <v>66000</v>
      </c>
      <c r="I39" s="123">
        <f t="shared" si="10"/>
        <v>15000</v>
      </c>
      <c r="J39" s="123">
        <f t="shared" si="10"/>
        <v>0</v>
      </c>
      <c r="K39" s="123">
        <f t="shared" si="10"/>
        <v>0</v>
      </c>
      <c r="L39" s="123">
        <f t="shared" si="10"/>
        <v>0</v>
      </c>
      <c r="M39" s="123">
        <f t="shared" si="10"/>
        <v>0</v>
      </c>
      <c r="N39" s="123">
        <f t="shared" si="10"/>
        <v>8676723</v>
      </c>
      <c r="O39" s="123">
        <f t="shared" si="10"/>
        <v>8676723</v>
      </c>
      <c r="P39" s="123">
        <f t="shared" si="10"/>
        <v>4289884</v>
      </c>
      <c r="Q39" s="123">
        <f t="shared" si="10"/>
        <v>0</v>
      </c>
    </row>
    <row r="40" spans="1:17" s="120" customFormat="1" ht="13.5" customHeight="1">
      <c r="A40" s="130"/>
      <c r="B40" s="130"/>
      <c r="C40" s="132">
        <f>D40/D39</f>
        <v>0.4359939404321043</v>
      </c>
      <c r="D40" s="124">
        <f>D42+D44</f>
        <v>3825508.0599999996</v>
      </c>
      <c r="E40" s="124">
        <f>E42+E44</f>
        <v>30061.22</v>
      </c>
      <c r="F40" s="123">
        <f t="shared" si="10"/>
        <v>16361.22</v>
      </c>
      <c r="G40" s="123">
        <f t="shared" si="10"/>
        <v>0</v>
      </c>
      <c r="H40" s="123">
        <f t="shared" si="10"/>
        <v>16361.22</v>
      </c>
      <c r="I40" s="123">
        <f t="shared" si="10"/>
        <v>13700</v>
      </c>
      <c r="J40" s="123">
        <f t="shared" si="10"/>
        <v>0</v>
      </c>
      <c r="K40" s="123">
        <f t="shared" si="10"/>
        <v>0</v>
      </c>
      <c r="L40" s="123">
        <f t="shared" si="10"/>
        <v>0</v>
      </c>
      <c r="M40" s="123">
        <f t="shared" si="10"/>
        <v>0</v>
      </c>
      <c r="N40" s="123">
        <f t="shared" si="10"/>
        <v>3795446.84</v>
      </c>
      <c r="O40" s="123">
        <f t="shared" si="10"/>
        <v>3795446.84</v>
      </c>
      <c r="P40" s="123">
        <f t="shared" si="10"/>
        <v>3611115.01</v>
      </c>
      <c r="Q40" s="123">
        <f t="shared" si="10"/>
        <v>0</v>
      </c>
    </row>
    <row r="41" spans="1:17" s="121" customFormat="1" ht="13.5" customHeight="1">
      <c r="A41" s="129"/>
      <c r="B41" s="129" t="s">
        <v>203</v>
      </c>
      <c r="C41" s="133" t="s">
        <v>549</v>
      </c>
      <c r="D41" s="125">
        <f>E41+N41</f>
        <v>8743723</v>
      </c>
      <c r="E41" s="125">
        <f>F41+I41+J41+K41+L41+M41</f>
        <v>67000</v>
      </c>
      <c r="F41" s="126">
        <v>52000</v>
      </c>
      <c r="G41" s="126">
        <v>0</v>
      </c>
      <c r="H41" s="126">
        <v>52000</v>
      </c>
      <c r="I41" s="126">
        <v>15000</v>
      </c>
      <c r="J41" s="126">
        <v>0</v>
      </c>
      <c r="K41" s="126">
        <v>0</v>
      </c>
      <c r="L41" s="126">
        <v>0</v>
      </c>
      <c r="M41" s="126">
        <v>0</v>
      </c>
      <c r="N41" s="127">
        <f t="shared" si="9"/>
        <v>8676723</v>
      </c>
      <c r="O41" s="126">
        <v>8676723</v>
      </c>
      <c r="P41" s="128">
        <v>4289884</v>
      </c>
      <c r="Q41" s="126">
        <v>0</v>
      </c>
    </row>
    <row r="42" spans="1:17" s="121" customFormat="1" ht="13.5" customHeight="1">
      <c r="A42" s="129"/>
      <c r="B42" s="129"/>
      <c r="C42" s="134">
        <f>D42/D41</f>
        <v>0.4373981952538981</v>
      </c>
      <c r="D42" s="125">
        <f>E42+N42</f>
        <v>3824488.6599999997</v>
      </c>
      <c r="E42" s="125">
        <f>F42+I42+J42+K42+L42+M42</f>
        <v>29041.82</v>
      </c>
      <c r="F42" s="126">
        <v>15341.82</v>
      </c>
      <c r="G42" s="126">
        <v>0</v>
      </c>
      <c r="H42" s="126">
        <v>15341.82</v>
      </c>
      <c r="I42" s="126">
        <f>13700</f>
        <v>13700</v>
      </c>
      <c r="J42" s="126">
        <v>0</v>
      </c>
      <c r="K42" s="126">
        <v>0</v>
      </c>
      <c r="L42" s="126">
        <v>0</v>
      </c>
      <c r="M42" s="126">
        <v>0</v>
      </c>
      <c r="N42" s="127">
        <f t="shared" si="9"/>
        <v>3795446.84</v>
      </c>
      <c r="O42" s="126">
        <f>2093617.27+1517497.74+184331.83</f>
        <v>3795446.84</v>
      </c>
      <c r="P42" s="128">
        <f>2093617.27+1517497.74</f>
        <v>3611115.01</v>
      </c>
      <c r="Q42" s="126">
        <v>0</v>
      </c>
    </row>
    <row r="43" spans="1:17" s="121" customFormat="1" ht="13.5" customHeight="1">
      <c r="A43" s="129"/>
      <c r="B43" s="129" t="s">
        <v>550</v>
      </c>
      <c r="C43" s="133" t="s">
        <v>54</v>
      </c>
      <c r="D43" s="125">
        <f>E43+N43</f>
        <v>30500</v>
      </c>
      <c r="E43" s="125">
        <f>F43+I43+J43+K43+L43+M43</f>
        <v>30500</v>
      </c>
      <c r="F43" s="126">
        <v>30500</v>
      </c>
      <c r="G43" s="126">
        <v>16500</v>
      </c>
      <c r="H43" s="126">
        <v>14000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  <c r="N43" s="127">
        <f t="shared" si="9"/>
        <v>0</v>
      </c>
      <c r="O43" s="126">
        <v>0</v>
      </c>
      <c r="P43" s="128">
        <v>0</v>
      </c>
      <c r="Q43" s="126">
        <v>0</v>
      </c>
    </row>
    <row r="44" spans="1:17" s="121" customFormat="1" ht="13.5" customHeight="1">
      <c r="A44" s="129"/>
      <c r="B44" s="129"/>
      <c r="C44" s="134">
        <f>D44/D43</f>
        <v>0.03342295081967213</v>
      </c>
      <c r="D44" s="125">
        <f>E44+N44</f>
        <v>1019.4</v>
      </c>
      <c r="E44" s="125">
        <f>F44+I44+J44+K44+L44+M44</f>
        <v>1019.4</v>
      </c>
      <c r="F44" s="126">
        <f>1019.4</f>
        <v>1019.4</v>
      </c>
      <c r="G44" s="126">
        <v>0</v>
      </c>
      <c r="H44" s="126">
        <v>1019.4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7">
        <f t="shared" si="9"/>
        <v>0</v>
      </c>
      <c r="O44" s="126">
        <v>0</v>
      </c>
      <c r="P44" s="128">
        <v>0</v>
      </c>
      <c r="Q44" s="126">
        <v>0</v>
      </c>
    </row>
    <row r="45" spans="1:17" s="120" customFormat="1" ht="13.5" customHeight="1">
      <c r="A45" s="130" t="s">
        <v>15</v>
      </c>
      <c r="B45" s="130"/>
      <c r="C45" s="131" t="s">
        <v>551</v>
      </c>
      <c r="D45" s="124">
        <f>D47</f>
        <v>5334000</v>
      </c>
      <c r="E45" s="124">
        <f>E47</f>
        <v>334000</v>
      </c>
      <c r="F45" s="123">
        <f aca="true" t="shared" si="11" ref="E45:Q46">F47</f>
        <v>334000</v>
      </c>
      <c r="G45" s="123">
        <f t="shared" si="11"/>
        <v>18500</v>
      </c>
      <c r="H45" s="123">
        <f t="shared" si="11"/>
        <v>315500</v>
      </c>
      <c r="I45" s="123">
        <f t="shared" si="11"/>
        <v>0</v>
      </c>
      <c r="J45" s="123">
        <f t="shared" si="11"/>
        <v>0</v>
      </c>
      <c r="K45" s="123">
        <f t="shared" si="11"/>
        <v>0</v>
      </c>
      <c r="L45" s="123">
        <f t="shared" si="11"/>
        <v>0</v>
      </c>
      <c r="M45" s="123">
        <f t="shared" si="11"/>
        <v>0</v>
      </c>
      <c r="N45" s="123">
        <f t="shared" si="11"/>
        <v>5000000</v>
      </c>
      <c r="O45" s="123">
        <f t="shared" si="11"/>
        <v>5000000</v>
      </c>
      <c r="P45" s="123">
        <f t="shared" si="11"/>
        <v>0</v>
      </c>
      <c r="Q45" s="123">
        <f t="shared" si="11"/>
        <v>0</v>
      </c>
    </row>
    <row r="46" spans="1:17" s="120" customFormat="1" ht="13.5" customHeight="1">
      <c r="A46" s="130"/>
      <c r="B46" s="130"/>
      <c r="C46" s="132">
        <f>D46/D45</f>
        <v>0.02130573865766779</v>
      </c>
      <c r="D46" s="124">
        <f>D48</f>
        <v>113644.81</v>
      </c>
      <c r="E46" s="124">
        <f t="shared" si="11"/>
        <v>108277.25</v>
      </c>
      <c r="F46" s="123">
        <f t="shared" si="11"/>
        <v>108277.25</v>
      </c>
      <c r="G46" s="123">
        <f t="shared" si="11"/>
        <v>12364.72</v>
      </c>
      <c r="H46" s="123">
        <f t="shared" si="11"/>
        <v>95912.53</v>
      </c>
      <c r="I46" s="123">
        <f t="shared" si="11"/>
        <v>0</v>
      </c>
      <c r="J46" s="123">
        <f t="shared" si="11"/>
        <v>0</v>
      </c>
      <c r="K46" s="123">
        <f t="shared" si="11"/>
        <v>0</v>
      </c>
      <c r="L46" s="123">
        <f t="shared" si="11"/>
        <v>0</v>
      </c>
      <c r="M46" s="123">
        <f t="shared" si="11"/>
        <v>0</v>
      </c>
      <c r="N46" s="123">
        <f t="shared" si="11"/>
        <v>5367.56</v>
      </c>
      <c r="O46" s="123">
        <f t="shared" si="11"/>
        <v>5367.56</v>
      </c>
      <c r="P46" s="123">
        <f t="shared" si="11"/>
        <v>0</v>
      </c>
      <c r="Q46" s="123">
        <f t="shared" si="11"/>
        <v>0</v>
      </c>
    </row>
    <row r="47" spans="1:17" s="121" customFormat="1" ht="13.5" customHeight="1">
      <c r="A47" s="129"/>
      <c r="B47" s="129" t="s">
        <v>16</v>
      </c>
      <c r="C47" s="133" t="s">
        <v>56</v>
      </c>
      <c r="D47" s="125">
        <f>E47+N47</f>
        <v>5334000</v>
      </c>
      <c r="E47" s="125">
        <f>F47+I47+J47+K47+L47+M47</f>
        <v>334000</v>
      </c>
      <c r="F47" s="126">
        <v>334000</v>
      </c>
      <c r="G47" s="126">
        <v>18500</v>
      </c>
      <c r="H47" s="126">
        <v>315500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  <c r="N47" s="127">
        <f>O47+Q47</f>
        <v>5000000</v>
      </c>
      <c r="O47" s="126">
        <v>5000000</v>
      </c>
      <c r="P47" s="126">
        <v>0</v>
      </c>
      <c r="Q47" s="126">
        <v>0</v>
      </c>
    </row>
    <row r="48" spans="1:17" s="121" customFormat="1" ht="13.5" customHeight="1">
      <c r="A48" s="129"/>
      <c r="B48" s="129"/>
      <c r="C48" s="134">
        <f>D48/D47</f>
        <v>0.02130573865766779</v>
      </c>
      <c r="D48" s="125">
        <f>E48+N48</f>
        <v>113644.81</v>
      </c>
      <c r="E48" s="125">
        <f>F48+I48+J48+K48+L48+M48</f>
        <v>108277.25</v>
      </c>
      <c r="F48" s="126">
        <f>G48+H48</f>
        <v>108277.25</v>
      </c>
      <c r="G48" s="126">
        <v>12364.72</v>
      </c>
      <c r="H48" s="126">
        <f>113644.81-G48-O48</f>
        <v>95912.53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7">
        <f>O48+Q48</f>
        <v>5367.56</v>
      </c>
      <c r="O48" s="126">
        <v>5367.56</v>
      </c>
      <c r="P48" s="126">
        <v>0</v>
      </c>
      <c r="Q48" s="126">
        <v>0</v>
      </c>
    </row>
    <row r="49" spans="1:17" s="120" customFormat="1" ht="13.5" customHeight="1">
      <c r="A49" s="130" t="s">
        <v>13</v>
      </c>
      <c r="B49" s="130"/>
      <c r="C49" s="131" t="s">
        <v>14</v>
      </c>
      <c r="D49" s="124">
        <f>D51+D53</f>
        <v>787000</v>
      </c>
      <c r="E49" s="124">
        <f aca="true" t="shared" si="12" ref="E49:Q50">E51+E53</f>
        <v>627000</v>
      </c>
      <c r="F49" s="123">
        <f t="shared" si="12"/>
        <v>627000</v>
      </c>
      <c r="G49" s="123">
        <f t="shared" si="12"/>
        <v>0</v>
      </c>
      <c r="H49" s="123">
        <f t="shared" si="12"/>
        <v>627000</v>
      </c>
      <c r="I49" s="123">
        <f t="shared" si="12"/>
        <v>0</v>
      </c>
      <c r="J49" s="123">
        <f t="shared" si="12"/>
        <v>0</v>
      </c>
      <c r="K49" s="123">
        <f t="shared" si="12"/>
        <v>0</v>
      </c>
      <c r="L49" s="123">
        <f t="shared" si="12"/>
        <v>0</v>
      </c>
      <c r="M49" s="123">
        <f t="shared" si="12"/>
        <v>0</v>
      </c>
      <c r="N49" s="123">
        <f t="shared" si="12"/>
        <v>160000</v>
      </c>
      <c r="O49" s="123">
        <f t="shared" si="12"/>
        <v>160000</v>
      </c>
      <c r="P49" s="123">
        <f t="shared" si="12"/>
        <v>0</v>
      </c>
      <c r="Q49" s="123">
        <f t="shared" si="12"/>
        <v>0</v>
      </c>
    </row>
    <row r="50" spans="1:17" s="120" customFormat="1" ht="13.5" customHeight="1">
      <c r="A50" s="130"/>
      <c r="B50" s="130"/>
      <c r="C50" s="132">
        <f>D50/D49</f>
        <v>0.09160984752223633</v>
      </c>
      <c r="D50" s="124">
        <f>D52+D54</f>
        <v>72096.95</v>
      </c>
      <c r="E50" s="124">
        <f t="shared" si="12"/>
        <v>72096.95</v>
      </c>
      <c r="F50" s="123">
        <f t="shared" si="12"/>
        <v>72096.95</v>
      </c>
      <c r="G50" s="123">
        <f t="shared" si="12"/>
        <v>0</v>
      </c>
      <c r="H50" s="123">
        <f t="shared" si="12"/>
        <v>72096.95</v>
      </c>
      <c r="I50" s="123">
        <f t="shared" si="12"/>
        <v>0</v>
      </c>
      <c r="J50" s="123">
        <f t="shared" si="12"/>
        <v>0</v>
      </c>
      <c r="K50" s="123">
        <f t="shared" si="12"/>
        <v>0</v>
      </c>
      <c r="L50" s="123">
        <f t="shared" si="12"/>
        <v>0</v>
      </c>
      <c r="M50" s="123">
        <f t="shared" si="12"/>
        <v>0</v>
      </c>
      <c r="N50" s="123">
        <f t="shared" si="12"/>
        <v>0</v>
      </c>
      <c r="O50" s="123">
        <f t="shared" si="12"/>
        <v>0</v>
      </c>
      <c r="P50" s="123">
        <f t="shared" si="12"/>
        <v>0</v>
      </c>
      <c r="Q50" s="123">
        <f t="shared" si="12"/>
        <v>0</v>
      </c>
    </row>
    <row r="51" spans="1:17" s="121" customFormat="1" ht="13.5" customHeight="1">
      <c r="A51" s="129"/>
      <c r="B51" s="129" t="s">
        <v>552</v>
      </c>
      <c r="C51" s="133" t="s">
        <v>36</v>
      </c>
      <c r="D51" s="125">
        <f>E51+N51</f>
        <v>600000</v>
      </c>
      <c r="E51" s="125">
        <f>F51+I51+J51+K51+L51+M51</f>
        <v>600000</v>
      </c>
      <c r="F51" s="126">
        <v>600000</v>
      </c>
      <c r="G51" s="126">
        <v>0</v>
      </c>
      <c r="H51" s="126">
        <v>600000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127">
        <f>O51+Q51</f>
        <v>0</v>
      </c>
      <c r="O51" s="126">
        <v>0</v>
      </c>
      <c r="P51" s="126">
        <v>0</v>
      </c>
      <c r="Q51" s="126">
        <v>0</v>
      </c>
    </row>
    <row r="52" spans="1:17" s="121" customFormat="1" ht="13.5" customHeight="1">
      <c r="A52" s="129"/>
      <c r="B52" s="129"/>
      <c r="C52" s="134">
        <f>D52/D51</f>
        <v>0.10501308333333333</v>
      </c>
      <c r="D52" s="125">
        <f>E52+N52</f>
        <v>63007.85</v>
      </c>
      <c r="E52" s="125">
        <f>F52+I52+J52+K52+L52+M52</f>
        <v>63007.85</v>
      </c>
      <c r="F52" s="126">
        <v>63007.85</v>
      </c>
      <c r="G52" s="126">
        <v>0</v>
      </c>
      <c r="H52" s="126">
        <v>63007.85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127">
        <f>O52+Q52</f>
        <v>0</v>
      </c>
      <c r="O52" s="126">
        <v>0</v>
      </c>
      <c r="P52" s="126">
        <v>0</v>
      </c>
      <c r="Q52" s="126">
        <v>0</v>
      </c>
    </row>
    <row r="53" spans="1:17" s="121" customFormat="1" ht="13.5" customHeight="1">
      <c r="A53" s="129"/>
      <c r="B53" s="129" t="s">
        <v>156</v>
      </c>
      <c r="C53" s="133" t="s">
        <v>65</v>
      </c>
      <c r="D53" s="125">
        <f>E53+N53</f>
        <v>187000</v>
      </c>
      <c r="E53" s="125">
        <f>F53+I53+J53+K53+L53+M53</f>
        <v>27000</v>
      </c>
      <c r="F53" s="126">
        <v>27000</v>
      </c>
      <c r="G53" s="126">
        <v>0</v>
      </c>
      <c r="H53" s="126">
        <v>27000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  <c r="N53" s="127">
        <f>O53+Q53</f>
        <v>160000</v>
      </c>
      <c r="O53" s="126">
        <v>160000</v>
      </c>
      <c r="P53" s="126">
        <v>0</v>
      </c>
      <c r="Q53" s="126">
        <v>0</v>
      </c>
    </row>
    <row r="54" spans="1:17" s="121" customFormat="1" ht="13.5" customHeight="1">
      <c r="A54" s="129"/>
      <c r="B54" s="129"/>
      <c r="C54" s="134">
        <f>D54/D53</f>
        <v>0.0486048128342246</v>
      </c>
      <c r="D54" s="125">
        <f>E54+N54</f>
        <v>9089.1</v>
      </c>
      <c r="E54" s="125">
        <f>F54+I54+J54+K54+L54+M54</f>
        <v>9089.1</v>
      </c>
      <c r="F54" s="126">
        <v>9089.1</v>
      </c>
      <c r="G54" s="126">
        <v>0</v>
      </c>
      <c r="H54" s="126">
        <v>9089.1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  <c r="N54" s="127">
        <f>O54+Q54</f>
        <v>0</v>
      </c>
      <c r="O54" s="126">
        <v>0</v>
      </c>
      <c r="P54" s="126">
        <v>0</v>
      </c>
      <c r="Q54" s="126">
        <v>0</v>
      </c>
    </row>
    <row r="55" spans="1:17" s="120" customFormat="1" ht="13.5" customHeight="1">
      <c r="A55" s="130" t="s">
        <v>19</v>
      </c>
      <c r="B55" s="130"/>
      <c r="C55" s="131" t="s">
        <v>18</v>
      </c>
      <c r="D55" s="124">
        <f>D57+D59+D61+D63+D65</f>
        <v>2538267.5300000003</v>
      </c>
      <c r="E55" s="124">
        <f aca="true" t="shared" si="13" ref="E55:Q56">E57+E59+E61+E63+E65</f>
        <v>2029487.53</v>
      </c>
      <c r="F55" s="123">
        <f t="shared" si="13"/>
        <v>1875148.44</v>
      </c>
      <c r="G55" s="123">
        <f t="shared" si="13"/>
        <v>1236245.07</v>
      </c>
      <c r="H55" s="123">
        <f t="shared" si="13"/>
        <v>638903.3700000001</v>
      </c>
      <c r="I55" s="123">
        <f t="shared" si="13"/>
        <v>20000</v>
      </c>
      <c r="J55" s="123">
        <f t="shared" si="13"/>
        <v>67100</v>
      </c>
      <c r="K55" s="123">
        <f t="shared" si="13"/>
        <v>67239.09</v>
      </c>
      <c r="L55" s="123">
        <f t="shared" si="13"/>
        <v>0</v>
      </c>
      <c r="M55" s="123">
        <f t="shared" si="13"/>
        <v>0</v>
      </c>
      <c r="N55" s="123">
        <f t="shared" si="13"/>
        <v>508780</v>
      </c>
      <c r="O55" s="123">
        <f t="shared" si="13"/>
        <v>508780</v>
      </c>
      <c r="P55" s="123">
        <f t="shared" si="13"/>
        <v>356780</v>
      </c>
      <c r="Q55" s="123">
        <f t="shared" si="13"/>
        <v>0</v>
      </c>
    </row>
    <row r="56" spans="1:17" s="120" customFormat="1" ht="13.5" customHeight="1">
      <c r="A56" s="130"/>
      <c r="B56" s="130"/>
      <c r="C56" s="132">
        <f>D56/D55</f>
        <v>0.39196628733615013</v>
      </c>
      <c r="D56" s="124">
        <f>D58+D60+D62+D64+D66</f>
        <v>994915.3000000002</v>
      </c>
      <c r="E56" s="124">
        <f t="shared" si="13"/>
        <v>970669.3800000001</v>
      </c>
      <c r="F56" s="123">
        <f t="shared" si="13"/>
        <v>934822.7100000001</v>
      </c>
      <c r="G56" s="123">
        <f t="shared" si="13"/>
        <v>635975.5700000001</v>
      </c>
      <c r="H56" s="123">
        <f t="shared" si="13"/>
        <v>298847.1399999999</v>
      </c>
      <c r="I56" s="123">
        <f t="shared" si="13"/>
        <v>0</v>
      </c>
      <c r="J56" s="123">
        <f t="shared" si="13"/>
        <v>35846.67</v>
      </c>
      <c r="K56" s="123">
        <f t="shared" si="13"/>
        <v>0</v>
      </c>
      <c r="L56" s="123">
        <f t="shared" si="13"/>
        <v>0</v>
      </c>
      <c r="M56" s="123">
        <f t="shared" si="13"/>
        <v>0</v>
      </c>
      <c r="N56" s="123">
        <f t="shared" si="13"/>
        <v>24245.92</v>
      </c>
      <c r="O56" s="123">
        <f t="shared" si="13"/>
        <v>24245.92</v>
      </c>
      <c r="P56" s="123">
        <f t="shared" si="13"/>
        <v>102.12</v>
      </c>
      <c r="Q56" s="123">
        <f t="shared" si="13"/>
        <v>0</v>
      </c>
    </row>
    <row r="57" spans="1:17" s="121" customFormat="1" ht="13.5" customHeight="1">
      <c r="A57" s="129"/>
      <c r="B57" s="129" t="s">
        <v>553</v>
      </c>
      <c r="C57" s="133" t="s">
        <v>554</v>
      </c>
      <c r="D57" s="125">
        <f>E57+N57</f>
        <v>108100</v>
      </c>
      <c r="E57" s="125">
        <f>F57+I57+J57+K57+L57+M57</f>
        <v>101100</v>
      </c>
      <c r="F57" s="126">
        <v>101100</v>
      </c>
      <c r="G57" s="126">
        <v>81945.07</v>
      </c>
      <c r="H57" s="126">
        <v>19154.93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  <c r="N57" s="127">
        <f aca="true" t="shared" si="14" ref="N57:N66">O57+Q57</f>
        <v>7000</v>
      </c>
      <c r="O57" s="126">
        <v>7000</v>
      </c>
      <c r="P57" s="128">
        <v>0</v>
      </c>
      <c r="Q57" s="126">
        <v>0</v>
      </c>
    </row>
    <row r="58" spans="1:17" s="121" customFormat="1" ht="13.5" customHeight="1">
      <c r="A58" s="129"/>
      <c r="B58" s="129"/>
      <c r="C58" s="134">
        <f>D58/D57</f>
        <v>0.49786216466234967</v>
      </c>
      <c r="D58" s="125">
        <f>E58+N58</f>
        <v>53818.9</v>
      </c>
      <c r="E58" s="125">
        <f>F58+I58+J58+K58+L58+M58</f>
        <v>46864.9</v>
      </c>
      <c r="F58" s="126">
        <f>G58+H58</f>
        <v>46864.9</v>
      </c>
      <c r="G58" s="126">
        <f>28925+2595.07+5000.04+1250</f>
        <v>37770.11</v>
      </c>
      <c r="H58" s="126">
        <f>53818.9-G58-O58</f>
        <v>9094.79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  <c r="N58" s="127">
        <f t="shared" si="14"/>
        <v>6954</v>
      </c>
      <c r="O58" s="126">
        <v>6954</v>
      </c>
      <c r="P58" s="128">
        <v>0</v>
      </c>
      <c r="Q58" s="126">
        <v>0</v>
      </c>
    </row>
    <row r="59" spans="1:17" s="121" customFormat="1" ht="13.5" customHeight="1">
      <c r="A59" s="129"/>
      <c r="B59" s="129" t="s">
        <v>555</v>
      </c>
      <c r="C59" s="133" t="s">
        <v>556</v>
      </c>
      <c r="D59" s="125">
        <f aca="true" t="shared" si="15" ref="D59:D65">E59+N59</f>
        <v>58300</v>
      </c>
      <c r="E59" s="125">
        <f aca="true" t="shared" si="16" ref="E59:E65">F59+I59+J59+K59+L59+M59</f>
        <v>58300</v>
      </c>
      <c r="F59" s="126">
        <v>8300</v>
      </c>
      <c r="G59" s="126">
        <v>0</v>
      </c>
      <c r="H59" s="126">
        <v>8300</v>
      </c>
      <c r="I59" s="126">
        <v>0</v>
      </c>
      <c r="J59" s="126">
        <v>50000</v>
      </c>
      <c r="K59" s="126">
        <v>0</v>
      </c>
      <c r="L59" s="126">
        <v>0</v>
      </c>
      <c r="M59" s="126">
        <v>0</v>
      </c>
      <c r="N59" s="127">
        <f t="shared" si="14"/>
        <v>0</v>
      </c>
      <c r="O59" s="126">
        <v>0</v>
      </c>
      <c r="P59" s="128">
        <v>0</v>
      </c>
      <c r="Q59" s="126">
        <v>0</v>
      </c>
    </row>
    <row r="60" spans="1:17" s="121" customFormat="1" ht="13.5" customHeight="1">
      <c r="A60" s="129"/>
      <c r="B60" s="129"/>
      <c r="C60" s="134">
        <f>D60/D59</f>
        <v>0.5170735849056604</v>
      </c>
      <c r="D60" s="125">
        <f>E60+N60</f>
        <v>30145.39</v>
      </c>
      <c r="E60" s="125">
        <f>F60+I60+J60+K60+L60+M60</f>
        <v>30145.39</v>
      </c>
      <c r="F60" s="126">
        <f>1604.42+494+100.3</f>
        <v>2198.7200000000003</v>
      </c>
      <c r="G60" s="126">
        <v>0</v>
      </c>
      <c r="H60" s="126">
        <v>2198.72</v>
      </c>
      <c r="I60" s="126">
        <v>0</v>
      </c>
      <c r="J60" s="126">
        <v>27946.67</v>
      </c>
      <c r="K60" s="126">
        <v>0</v>
      </c>
      <c r="L60" s="126">
        <v>0</v>
      </c>
      <c r="M60" s="126">
        <v>0</v>
      </c>
      <c r="N60" s="127">
        <f t="shared" si="14"/>
        <v>0</v>
      </c>
      <c r="O60" s="126">
        <v>0</v>
      </c>
      <c r="P60" s="128">
        <v>0</v>
      </c>
      <c r="Q60" s="126">
        <v>0</v>
      </c>
    </row>
    <row r="61" spans="1:17" s="121" customFormat="1" ht="13.5" customHeight="1">
      <c r="A61" s="129"/>
      <c r="B61" s="129" t="s">
        <v>20</v>
      </c>
      <c r="C61" s="133" t="s">
        <v>557</v>
      </c>
      <c r="D61" s="125">
        <f t="shared" si="15"/>
        <v>1786209.53</v>
      </c>
      <c r="E61" s="125">
        <f t="shared" si="16"/>
        <v>1641209.53</v>
      </c>
      <c r="F61" s="126">
        <v>1640909.53</v>
      </c>
      <c r="G61" s="126">
        <v>1143700</v>
      </c>
      <c r="H61" s="126">
        <v>497209.53</v>
      </c>
      <c r="I61" s="126">
        <v>0</v>
      </c>
      <c r="J61" s="126">
        <v>300</v>
      </c>
      <c r="K61" s="126">
        <v>0</v>
      </c>
      <c r="L61" s="126">
        <v>0</v>
      </c>
      <c r="M61" s="126">
        <v>0</v>
      </c>
      <c r="N61" s="127">
        <f t="shared" si="14"/>
        <v>145000</v>
      </c>
      <c r="O61" s="126">
        <v>145000</v>
      </c>
      <c r="P61" s="128">
        <v>0</v>
      </c>
      <c r="Q61" s="126">
        <v>0</v>
      </c>
    </row>
    <row r="62" spans="1:17" s="121" customFormat="1" ht="13.5" customHeight="1">
      <c r="A62" s="129"/>
      <c r="B62" s="129"/>
      <c r="C62" s="134">
        <f>D62/D61</f>
        <v>0.48372702389511946</v>
      </c>
      <c r="D62" s="125">
        <f>E62+N62</f>
        <v>864037.8200000001</v>
      </c>
      <c r="E62" s="125">
        <f>F62+I62+J62+K62+L62+M62</f>
        <v>846848.02</v>
      </c>
      <c r="F62" s="126">
        <v>846648.02</v>
      </c>
      <c r="G62" s="126">
        <f>451497.27+56794.7+76978.59+10203.9+2731</f>
        <v>598205.4600000001</v>
      </c>
      <c r="H62" s="126">
        <f>864037.82-G62-J62-O62</f>
        <v>248442.55999999988</v>
      </c>
      <c r="I62" s="126">
        <v>0</v>
      </c>
      <c r="J62" s="126">
        <v>200</v>
      </c>
      <c r="K62" s="126">
        <v>0</v>
      </c>
      <c r="L62" s="126">
        <v>0</v>
      </c>
      <c r="M62" s="126">
        <v>0</v>
      </c>
      <c r="N62" s="127">
        <f t="shared" si="14"/>
        <v>17189.8</v>
      </c>
      <c r="O62" s="126">
        <v>17189.8</v>
      </c>
      <c r="P62" s="128">
        <v>0</v>
      </c>
      <c r="Q62" s="126">
        <v>0</v>
      </c>
    </row>
    <row r="63" spans="1:17" s="121" customFormat="1" ht="13.5" customHeight="1">
      <c r="A63" s="129"/>
      <c r="B63" s="129" t="s">
        <v>357</v>
      </c>
      <c r="C63" s="133" t="s">
        <v>558</v>
      </c>
      <c r="D63" s="125">
        <f t="shared" si="15"/>
        <v>50000</v>
      </c>
      <c r="E63" s="125">
        <f t="shared" si="16"/>
        <v>50000</v>
      </c>
      <c r="F63" s="126">
        <v>30000</v>
      </c>
      <c r="G63" s="126">
        <v>0</v>
      </c>
      <c r="H63" s="126">
        <v>30000</v>
      </c>
      <c r="I63" s="126">
        <v>20000</v>
      </c>
      <c r="J63" s="126">
        <v>0</v>
      </c>
      <c r="K63" s="126">
        <v>0</v>
      </c>
      <c r="L63" s="126">
        <v>0</v>
      </c>
      <c r="M63" s="126">
        <v>0</v>
      </c>
      <c r="N63" s="127">
        <f t="shared" si="14"/>
        <v>0</v>
      </c>
      <c r="O63" s="126">
        <v>0</v>
      </c>
      <c r="P63" s="128">
        <v>0</v>
      </c>
      <c r="Q63" s="126">
        <v>0</v>
      </c>
    </row>
    <row r="64" spans="1:17" s="121" customFormat="1" ht="13.5" customHeight="1">
      <c r="A64" s="129"/>
      <c r="B64" s="129"/>
      <c r="C64" s="134">
        <f>D64/D63</f>
        <v>0.37351019999999996</v>
      </c>
      <c r="D64" s="125">
        <f>E64+N64</f>
        <v>18675.51</v>
      </c>
      <c r="E64" s="125">
        <f>F64+I64+J64+K64+L64+M64</f>
        <v>18675.51</v>
      </c>
      <c r="F64" s="126">
        <v>18675.51</v>
      </c>
      <c r="G64" s="126">
        <v>0</v>
      </c>
      <c r="H64" s="126">
        <v>18675.51</v>
      </c>
      <c r="I64" s="126">
        <v>0</v>
      </c>
      <c r="J64" s="126">
        <v>0</v>
      </c>
      <c r="K64" s="126">
        <v>0</v>
      </c>
      <c r="L64" s="126">
        <v>0</v>
      </c>
      <c r="M64" s="126">
        <v>0</v>
      </c>
      <c r="N64" s="127">
        <f t="shared" si="14"/>
        <v>0</v>
      </c>
      <c r="O64" s="126">
        <v>0</v>
      </c>
      <c r="P64" s="128">
        <v>0</v>
      </c>
      <c r="Q64" s="126">
        <v>0</v>
      </c>
    </row>
    <row r="65" spans="1:17" s="121" customFormat="1" ht="13.5" customHeight="1">
      <c r="A65" s="129"/>
      <c r="B65" s="129" t="s">
        <v>209</v>
      </c>
      <c r="C65" s="133" t="s">
        <v>54</v>
      </c>
      <c r="D65" s="125">
        <f t="shared" si="15"/>
        <v>535658</v>
      </c>
      <c r="E65" s="125">
        <f t="shared" si="16"/>
        <v>178878</v>
      </c>
      <c r="F65" s="126">
        <v>94838.91</v>
      </c>
      <c r="G65" s="126">
        <v>10600</v>
      </c>
      <c r="H65" s="126">
        <v>84238.91</v>
      </c>
      <c r="I65" s="126">
        <v>0</v>
      </c>
      <c r="J65" s="126">
        <v>16800</v>
      </c>
      <c r="K65" s="126">
        <v>67239.09</v>
      </c>
      <c r="L65" s="126">
        <v>0</v>
      </c>
      <c r="M65" s="126">
        <v>0</v>
      </c>
      <c r="N65" s="127">
        <f t="shared" si="14"/>
        <v>356780</v>
      </c>
      <c r="O65" s="126">
        <v>356780</v>
      </c>
      <c r="P65" s="128">
        <v>356780</v>
      </c>
      <c r="Q65" s="126">
        <v>0</v>
      </c>
    </row>
    <row r="66" spans="1:17" s="121" customFormat="1" ht="13.5" customHeight="1">
      <c r="A66" s="129"/>
      <c r="B66" s="129"/>
      <c r="C66" s="134">
        <f>D66/D65</f>
        <v>0.05271587468123318</v>
      </c>
      <c r="D66" s="125">
        <f>E66+N66</f>
        <v>28237.68</v>
      </c>
      <c r="E66" s="125">
        <f>F66+I66+J66+K66+L66+M66</f>
        <v>28135.56</v>
      </c>
      <c r="F66" s="126">
        <v>20435.56</v>
      </c>
      <c r="G66" s="126">
        <v>0</v>
      </c>
      <c r="H66" s="126">
        <f>9773.91+5575.4+5086.25</f>
        <v>20435.559999999998</v>
      </c>
      <c r="I66" s="126">
        <v>0</v>
      </c>
      <c r="J66" s="126">
        <v>7700</v>
      </c>
      <c r="K66" s="126">
        <v>0</v>
      </c>
      <c r="L66" s="126">
        <v>0</v>
      </c>
      <c r="M66" s="126">
        <v>0</v>
      </c>
      <c r="N66" s="127">
        <f t="shared" si="14"/>
        <v>102.12</v>
      </c>
      <c r="O66" s="126">
        <v>102.12</v>
      </c>
      <c r="P66" s="128">
        <v>102.12</v>
      </c>
      <c r="Q66" s="126">
        <v>0</v>
      </c>
    </row>
    <row r="67" spans="1:17" s="120" customFormat="1" ht="27" customHeight="1">
      <c r="A67" s="130" t="s">
        <v>35</v>
      </c>
      <c r="B67" s="130"/>
      <c r="C67" s="131" t="s">
        <v>559</v>
      </c>
      <c r="D67" s="124">
        <f>D69+D71</f>
        <v>21500</v>
      </c>
      <c r="E67" s="124">
        <f aca="true" t="shared" si="17" ref="E67:Q68">E69+E71</f>
        <v>21500</v>
      </c>
      <c r="F67" s="123">
        <f t="shared" si="17"/>
        <v>16370</v>
      </c>
      <c r="G67" s="123">
        <f t="shared" si="17"/>
        <v>2214.52</v>
      </c>
      <c r="H67" s="123">
        <f t="shared" si="17"/>
        <v>14155.48</v>
      </c>
      <c r="I67" s="123">
        <f t="shared" si="17"/>
        <v>0</v>
      </c>
      <c r="J67" s="123">
        <f t="shared" si="17"/>
        <v>5130</v>
      </c>
      <c r="K67" s="123">
        <f t="shared" si="17"/>
        <v>0</v>
      </c>
      <c r="L67" s="123">
        <f t="shared" si="17"/>
        <v>0</v>
      </c>
      <c r="M67" s="123">
        <f t="shared" si="17"/>
        <v>0</v>
      </c>
      <c r="N67" s="123">
        <f t="shared" si="17"/>
        <v>0</v>
      </c>
      <c r="O67" s="123">
        <f t="shared" si="17"/>
        <v>0</v>
      </c>
      <c r="P67" s="123">
        <f t="shared" si="17"/>
        <v>0</v>
      </c>
      <c r="Q67" s="123">
        <f t="shared" si="17"/>
        <v>0</v>
      </c>
    </row>
    <row r="68" spans="1:17" s="120" customFormat="1" ht="13.5" customHeight="1">
      <c r="A68" s="130"/>
      <c r="B68" s="130"/>
      <c r="C68" s="132">
        <f>D68/D67</f>
        <v>0.5357967441860466</v>
      </c>
      <c r="D68" s="124">
        <f>D70+D72</f>
        <v>11519.630000000001</v>
      </c>
      <c r="E68" s="124">
        <f t="shared" si="17"/>
        <v>11519.630000000001</v>
      </c>
      <c r="F68" s="123">
        <f t="shared" si="17"/>
        <v>8954.630000000001</v>
      </c>
      <c r="G68" s="123">
        <f t="shared" si="17"/>
        <v>1730.68</v>
      </c>
      <c r="H68" s="123">
        <f t="shared" si="17"/>
        <v>7223.950000000001</v>
      </c>
      <c r="I68" s="123">
        <f t="shared" si="17"/>
        <v>0</v>
      </c>
      <c r="J68" s="123">
        <f t="shared" si="17"/>
        <v>2565</v>
      </c>
      <c r="K68" s="123">
        <f t="shared" si="17"/>
        <v>0</v>
      </c>
      <c r="L68" s="123">
        <f t="shared" si="17"/>
        <v>0</v>
      </c>
      <c r="M68" s="123">
        <f t="shared" si="17"/>
        <v>0</v>
      </c>
      <c r="N68" s="123">
        <f t="shared" si="17"/>
        <v>0</v>
      </c>
      <c r="O68" s="123">
        <f t="shared" si="17"/>
        <v>0</v>
      </c>
      <c r="P68" s="123">
        <f t="shared" si="17"/>
        <v>0</v>
      </c>
      <c r="Q68" s="123">
        <f t="shared" si="17"/>
        <v>0</v>
      </c>
    </row>
    <row r="69" spans="1:17" s="121" customFormat="1" ht="13.5" customHeight="1">
      <c r="A69" s="129"/>
      <c r="B69" s="129" t="s">
        <v>165</v>
      </c>
      <c r="C69" s="133" t="s">
        <v>560</v>
      </c>
      <c r="D69" s="125">
        <f>E69+N69</f>
        <v>10840</v>
      </c>
      <c r="E69" s="125">
        <f>F69+I69+J69+K69+L69+M69</f>
        <v>10840</v>
      </c>
      <c r="F69" s="126">
        <v>10840</v>
      </c>
      <c r="G69" s="126">
        <v>383</v>
      </c>
      <c r="H69" s="126">
        <v>10457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  <c r="N69" s="127">
        <f>O69+Q69</f>
        <v>0</v>
      </c>
      <c r="O69" s="126">
        <v>0</v>
      </c>
      <c r="P69" s="128">
        <v>0</v>
      </c>
      <c r="Q69" s="126">
        <v>0</v>
      </c>
    </row>
    <row r="70" spans="1:17" s="121" customFormat="1" ht="13.5" customHeight="1">
      <c r="A70" s="129"/>
      <c r="B70" s="129"/>
      <c r="C70" s="134">
        <f>D70/D69</f>
        <v>0.4921245387453875</v>
      </c>
      <c r="D70" s="125">
        <f>E70+N70</f>
        <v>5334.63</v>
      </c>
      <c r="E70" s="125">
        <f>F70+I70+J70+K70+L70+M70</f>
        <v>5334.63</v>
      </c>
      <c r="F70" s="126">
        <v>5334.63</v>
      </c>
      <c r="G70" s="126">
        <f>24.16+160</f>
        <v>184.16</v>
      </c>
      <c r="H70" s="126">
        <v>5150.47</v>
      </c>
      <c r="I70" s="126">
        <v>0</v>
      </c>
      <c r="J70" s="126">
        <v>0</v>
      </c>
      <c r="K70" s="126">
        <v>0</v>
      </c>
      <c r="L70" s="126">
        <v>0</v>
      </c>
      <c r="M70" s="126">
        <v>0</v>
      </c>
      <c r="N70" s="127">
        <f>O70+Q70</f>
        <v>0</v>
      </c>
      <c r="O70" s="126">
        <v>0</v>
      </c>
      <c r="P70" s="128">
        <v>0</v>
      </c>
      <c r="Q70" s="126">
        <v>0</v>
      </c>
    </row>
    <row r="71" spans="1:17" s="121" customFormat="1" ht="13.5" customHeight="1">
      <c r="A71" s="129"/>
      <c r="B71" s="129" t="s">
        <v>223</v>
      </c>
      <c r="C71" s="133" t="s">
        <v>273</v>
      </c>
      <c r="D71" s="125">
        <f>E71+N71</f>
        <v>10660</v>
      </c>
      <c r="E71" s="125">
        <f>F71+I71+J71+K71+L71+M71</f>
        <v>10660</v>
      </c>
      <c r="F71" s="126">
        <v>5530</v>
      </c>
      <c r="G71" s="126">
        <v>1831.52</v>
      </c>
      <c r="H71" s="126">
        <v>3698.48</v>
      </c>
      <c r="I71" s="126">
        <v>0</v>
      </c>
      <c r="J71" s="126">
        <v>5130</v>
      </c>
      <c r="K71" s="126">
        <v>0</v>
      </c>
      <c r="L71" s="126">
        <v>0</v>
      </c>
      <c r="M71" s="126">
        <v>0</v>
      </c>
      <c r="N71" s="127">
        <f aca="true" t="shared" si="18" ref="N71:N84">O71+Q71</f>
        <v>0</v>
      </c>
      <c r="O71" s="126">
        <v>0</v>
      </c>
      <c r="P71" s="128">
        <v>0</v>
      </c>
      <c r="Q71" s="126">
        <v>0</v>
      </c>
    </row>
    <row r="72" spans="1:17" s="121" customFormat="1" ht="13.5" customHeight="1">
      <c r="A72" s="129"/>
      <c r="B72" s="129"/>
      <c r="C72" s="134">
        <f>D72/D71</f>
        <v>0.5802063789868668</v>
      </c>
      <c r="D72" s="125">
        <f>E72+N72</f>
        <v>6185</v>
      </c>
      <c r="E72" s="125">
        <f>F72+I72+J72+K72+L72+M72</f>
        <v>6185</v>
      </c>
      <c r="F72" s="126">
        <f>G72+H72</f>
        <v>3620</v>
      </c>
      <c r="G72" s="126">
        <f>200.43+18.76+1327.33</f>
        <v>1546.52</v>
      </c>
      <c r="H72" s="126">
        <f>1413.48+660</f>
        <v>2073.48</v>
      </c>
      <c r="I72" s="126">
        <v>0</v>
      </c>
      <c r="J72" s="126">
        <v>2565</v>
      </c>
      <c r="K72" s="126">
        <v>0</v>
      </c>
      <c r="L72" s="126">
        <v>0</v>
      </c>
      <c r="M72" s="126">
        <v>0</v>
      </c>
      <c r="N72" s="127">
        <f t="shared" si="18"/>
        <v>0</v>
      </c>
      <c r="O72" s="126">
        <v>0</v>
      </c>
      <c r="P72" s="128">
        <v>0</v>
      </c>
      <c r="Q72" s="126">
        <v>0</v>
      </c>
    </row>
    <row r="73" spans="1:17" s="120" customFormat="1" ht="13.5" customHeight="1">
      <c r="A73" s="130" t="s">
        <v>21</v>
      </c>
      <c r="B73" s="130"/>
      <c r="C73" s="131" t="s">
        <v>22</v>
      </c>
      <c r="D73" s="124">
        <f>D75+D77+D79+D81+D83</f>
        <v>2599247.48</v>
      </c>
      <c r="E73" s="124">
        <f aca="true" t="shared" si="19" ref="E73:Q74">E75+E77+E79+E81+E83</f>
        <v>340716.4</v>
      </c>
      <c r="F73" s="123">
        <f t="shared" si="19"/>
        <v>322716.4</v>
      </c>
      <c r="G73" s="123">
        <f t="shared" si="19"/>
        <v>174392.4</v>
      </c>
      <c r="H73" s="123">
        <f t="shared" si="19"/>
        <v>148324</v>
      </c>
      <c r="I73" s="123">
        <f t="shared" si="19"/>
        <v>0</v>
      </c>
      <c r="J73" s="123">
        <f t="shared" si="19"/>
        <v>18000</v>
      </c>
      <c r="K73" s="123">
        <f t="shared" si="19"/>
        <v>0</v>
      </c>
      <c r="L73" s="123">
        <f t="shared" si="19"/>
        <v>0</v>
      </c>
      <c r="M73" s="123">
        <f t="shared" si="19"/>
        <v>0</v>
      </c>
      <c r="N73" s="123">
        <f t="shared" si="19"/>
        <v>2258531.08</v>
      </c>
      <c r="O73" s="123">
        <f t="shared" si="19"/>
        <v>2258531.08</v>
      </c>
      <c r="P73" s="123">
        <f t="shared" si="19"/>
        <v>608531.08</v>
      </c>
      <c r="Q73" s="123">
        <f t="shared" si="19"/>
        <v>0</v>
      </c>
    </row>
    <row r="74" spans="1:17" s="120" customFormat="1" ht="13.5" customHeight="1">
      <c r="A74" s="130"/>
      <c r="B74" s="130"/>
      <c r="C74" s="132">
        <f>D74/D73</f>
        <v>0.06772473239062252</v>
      </c>
      <c r="D74" s="124">
        <f>D76+D78+D80+D82+D84</f>
        <v>176033.33999999997</v>
      </c>
      <c r="E74" s="124">
        <f t="shared" si="19"/>
        <v>152101.55</v>
      </c>
      <c r="F74" s="123">
        <f t="shared" si="19"/>
        <v>146509.55</v>
      </c>
      <c r="G74" s="123">
        <f t="shared" si="19"/>
        <v>80817.32</v>
      </c>
      <c r="H74" s="123">
        <f t="shared" si="19"/>
        <v>65692.22999999998</v>
      </c>
      <c r="I74" s="123">
        <f t="shared" si="19"/>
        <v>0</v>
      </c>
      <c r="J74" s="123">
        <f t="shared" si="19"/>
        <v>5592</v>
      </c>
      <c r="K74" s="123">
        <f t="shared" si="19"/>
        <v>0</v>
      </c>
      <c r="L74" s="123">
        <f t="shared" si="19"/>
        <v>0</v>
      </c>
      <c r="M74" s="123">
        <f t="shared" si="19"/>
        <v>0</v>
      </c>
      <c r="N74" s="123">
        <f t="shared" si="19"/>
        <v>23931.79</v>
      </c>
      <c r="O74" s="123">
        <f t="shared" si="19"/>
        <v>23931.79</v>
      </c>
      <c r="P74" s="123">
        <f t="shared" si="19"/>
        <v>0</v>
      </c>
      <c r="Q74" s="123">
        <f t="shared" si="19"/>
        <v>0</v>
      </c>
    </row>
    <row r="75" spans="1:17" s="121" customFormat="1" ht="13.5" customHeight="1">
      <c r="A75" s="129"/>
      <c r="B75" s="129" t="s">
        <v>561</v>
      </c>
      <c r="C75" s="133" t="s">
        <v>257</v>
      </c>
      <c r="D75" s="125">
        <f aca="true" t="shared" si="20" ref="D75:D83">E75+N75</f>
        <v>5000</v>
      </c>
      <c r="E75" s="125">
        <f aca="true" t="shared" si="21" ref="E75:E83">F75+I75+J75+K75+L75+M75</f>
        <v>5000</v>
      </c>
      <c r="F75" s="126">
        <v>5000</v>
      </c>
      <c r="G75" s="126">
        <v>0</v>
      </c>
      <c r="H75" s="126">
        <v>5000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127">
        <f t="shared" si="18"/>
        <v>0</v>
      </c>
      <c r="O75" s="126">
        <v>0</v>
      </c>
      <c r="P75" s="128">
        <v>0</v>
      </c>
      <c r="Q75" s="126">
        <v>0</v>
      </c>
    </row>
    <row r="76" spans="1:17" s="121" customFormat="1" ht="13.5" customHeight="1">
      <c r="A76" s="129"/>
      <c r="B76" s="129"/>
      <c r="C76" s="134">
        <f>D76/D75</f>
        <v>0</v>
      </c>
      <c r="D76" s="125">
        <f>E76+N76</f>
        <v>0</v>
      </c>
      <c r="E76" s="125">
        <f>F76+I76+J76+K76+L76+M76</f>
        <v>0</v>
      </c>
      <c r="F76" s="126">
        <v>0</v>
      </c>
      <c r="G76" s="126">
        <v>0</v>
      </c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127">
        <f t="shared" si="18"/>
        <v>0</v>
      </c>
      <c r="O76" s="126">
        <v>0</v>
      </c>
      <c r="P76" s="128">
        <v>0</v>
      </c>
      <c r="Q76" s="126">
        <v>0</v>
      </c>
    </row>
    <row r="77" spans="1:17" s="121" customFormat="1" ht="13.5" customHeight="1">
      <c r="A77" s="129"/>
      <c r="B77" s="129" t="s">
        <v>562</v>
      </c>
      <c r="C77" s="133" t="s">
        <v>563</v>
      </c>
      <c r="D77" s="125">
        <f t="shared" si="20"/>
        <v>5000</v>
      </c>
      <c r="E77" s="125">
        <f t="shared" si="21"/>
        <v>5000</v>
      </c>
      <c r="F77" s="126">
        <v>5000</v>
      </c>
      <c r="G77" s="126">
        <v>0</v>
      </c>
      <c r="H77" s="126">
        <v>5000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7">
        <f t="shared" si="18"/>
        <v>0</v>
      </c>
      <c r="O77" s="126">
        <v>0</v>
      </c>
      <c r="P77" s="128">
        <v>0</v>
      </c>
      <c r="Q77" s="126">
        <v>0</v>
      </c>
    </row>
    <row r="78" spans="1:17" s="121" customFormat="1" ht="13.5" customHeight="1">
      <c r="A78" s="129"/>
      <c r="B78" s="129"/>
      <c r="C78" s="134">
        <f>D78/D77</f>
        <v>1</v>
      </c>
      <c r="D78" s="125">
        <f>E78+N78</f>
        <v>5000</v>
      </c>
      <c r="E78" s="125">
        <f>F78+I78+J78+K78+L78+M78</f>
        <v>5000</v>
      </c>
      <c r="F78" s="126">
        <v>5000</v>
      </c>
      <c r="G78" s="126">
        <v>0</v>
      </c>
      <c r="H78" s="126">
        <v>5000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  <c r="N78" s="127">
        <f t="shared" si="18"/>
        <v>0</v>
      </c>
      <c r="O78" s="126">
        <v>0</v>
      </c>
      <c r="P78" s="128">
        <v>0</v>
      </c>
      <c r="Q78" s="126">
        <v>0</v>
      </c>
    </row>
    <row r="79" spans="1:17" s="121" customFormat="1" ht="13.5" customHeight="1">
      <c r="A79" s="129"/>
      <c r="B79" s="129" t="s">
        <v>195</v>
      </c>
      <c r="C79" s="133" t="s">
        <v>564</v>
      </c>
      <c r="D79" s="125">
        <f t="shared" si="20"/>
        <v>2249717.48</v>
      </c>
      <c r="E79" s="125">
        <f t="shared" si="21"/>
        <v>191186.4</v>
      </c>
      <c r="F79" s="126">
        <v>173186.4</v>
      </c>
      <c r="G79" s="126">
        <v>81192.4</v>
      </c>
      <c r="H79" s="126">
        <v>91994</v>
      </c>
      <c r="I79" s="126">
        <v>0</v>
      </c>
      <c r="J79" s="126">
        <v>18000</v>
      </c>
      <c r="K79" s="126">
        <v>0</v>
      </c>
      <c r="L79" s="126">
        <v>0</v>
      </c>
      <c r="M79" s="126">
        <v>0</v>
      </c>
      <c r="N79" s="127">
        <f t="shared" si="18"/>
        <v>2058531.08</v>
      </c>
      <c r="O79" s="126">
        <v>2058531.08</v>
      </c>
      <c r="P79" s="128">
        <v>608531.08</v>
      </c>
      <c r="Q79" s="126">
        <v>0</v>
      </c>
    </row>
    <row r="80" spans="1:17" s="121" customFormat="1" ht="13.5" customHeight="1">
      <c r="A80" s="129"/>
      <c r="B80" s="129"/>
      <c r="C80" s="134">
        <f>D80/D79</f>
        <v>0.0472531244234276</v>
      </c>
      <c r="D80" s="125">
        <f>E80+N80</f>
        <v>106306.18</v>
      </c>
      <c r="E80" s="125">
        <f>F80+I80+J80+K80+L80+M80</f>
        <v>92622.38999999998</v>
      </c>
      <c r="F80" s="126">
        <f>G80+H80</f>
        <v>87030.38999999998</v>
      </c>
      <c r="G80" s="126">
        <f>10861.17+1489.4+1870.51+302.56+21336.24</f>
        <v>35859.880000000005</v>
      </c>
      <c r="H80" s="126">
        <f>106306.18-G80-J80-O80</f>
        <v>51170.50999999999</v>
      </c>
      <c r="I80" s="126">
        <v>0</v>
      </c>
      <c r="J80" s="126">
        <v>5592</v>
      </c>
      <c r="K80" s="126">
        <v>0</v>
      </c>
      <c r="L80" s="126">
        <v>0</v>
      </c>
      <c r="M80" s="126">
        <v>0</v>
      </c>
      <c r="N80" s="127">
        <f t="shared" si="18"/>
        <v>13683.79</v>
      </c>
      <c r="O80" s="126">
        <v>13683.79</v>
      </c>
      <c r="P80" s="128">
        <v>0</v>
      </c>
      <c r="Q80" s="126">
        <v>0</v>
      </c>
    </row>
    <row r="81" spans="1:17" s="121" customFormat="1" ht="13.5" customHeight="1">
      <c r="A81" s="129"/>
      <c r="B81" s="129" t="s">
        <v>565</v>
      </c>
      <c r="C81" s="133" t="s">
        <v>566</v>
      </c>
      <c r="D81" s="125">
        <f t="shared" si="20"/>
        <v>67550</v>
      </c>
      <c r="E81" s="125">
        <f t="shared" si="21"/>
        <v>67550</v>
      </c>
      <c r="F81" s="126">
        <v>67550</v>
      </c>
      <c r="G81" s="126">
        <v>37000</v>
      </c>
      <c r="H81" s="126">
        <v>30550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  <c r="N81" s="127">
        <f t="shared" si="18"/>
        <v>0</v>
      </c>
      <c r="O81" s="126">
        <v>0</v>
      </c>
      <c r="P81" s="128">
        <v>0</v>
      </c>
      <c r="Q81" s="126">
        <v>0</v>
      </c>
    </row>
    <row r="82" spans="1:17" s="121" customFormat="1" ht="13.5" customHeight="1">
      <c r="A82" s="129"/>
      <c r="B82" s="129"/>
      <c r="C82" s="134">
        <f>D82/D81</f>
        <v>0.3203028867505551</v>
      </c>
      <c r="D82" s="125">
        <f>E82+N82</f>
        <v>21636.46</v>
      </c>
      <c r="E82" s="125">
        <f>F82+I82+J82+K82+L82+M82</f>
        <v>21636.46</v>
      </c>
      <c r="F82" s="126">
        <f>G82+H82</f>
        <v>21636.46</v>
      </c>
      <c r="G82" s="126">
        <f>13220.28+2025.71+2309.6+373.54</f>
        <v>17929.13</v>
      </c>
      <c r="H82" s="126">
        <f>21636.46-G82</f>
        <v>3707.329999999998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  <c r="N82" s="127">
        <f t="shared" si="18"/>
        <v>0</v>
      </c>
      <c r="O82" s="126">
        <v>0</v>
      </c>
      <c r="P82" s="128">
        <v>0</v>
      </c>
      <c r="Q82" s="126">
        <v>0</v>
      </c>
    </row>
    <row r="83" spans="1:17" s="121" customFormat="1" ht="13.5" customHeight="1">
      <c r="A83" s="129"/>
      <c r="B83" s="129" t="s">
        <v>225</v>
      </c>
      <c r="C83" s="133" t="s">
        <v>258</v>
      </c>
      <c r="D83" s="125">
        <f t="shared" si="20"/>
        <v>271980</v>
      </c>
      <c r="E83" s="125">
        <f t="shared" si="21"/>
        <v>71980</v>
      </c>
      <c r="F83" s="126">
        <v>71980</v>
      </c>
      <c r="G83" s="126">
        <v>56200</v>
      </c>
      <c r="H83" s="126">
        <v>15780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  <c r="N83" s="127">
        <f t="shared" si="18"/>
        <v>200000</v>
      </c>
      <c r="O83" s="126">
        <v>200000</v>
      </c>
      <c r="P83" s="128">
        <v>0</v>
      </c>
      <c r="Q83" s="126">
        <v>0</v>
      </c>
    </row>
    <row r="84" spans="1:17" s="121" customFormat="1" ht="13.5" customHeight="1">
      <c r="A84" s="129"/>
      <c r="B84" s="129"/>
      <c r="C84" s="134">
        <f>D84/D83</f>
        <v>0.1584333406868152</v>
      </c>
      <c r="D84" s="125">
        <f>E84+N84</f>
        <v>43090.7</v>
      </c>
      <c r="E84" s="125">
        <f>F84+I84+J84+K84+L84+M84</f>
        <v>32842.7</v>
      </c>
      <c r="F84" s="126">
        <f>G84+H84</f>
        <v>32842.7</v>
      </c>
      <c r="G84" s="126">
        <f>22985+3480.17+563.14</f>
        <v>27028.309999999998</v>
      </c>
      <c r="H84" s="126">
        <f>43090.7-G84-O84</f>
        <v>5814.389999999999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  <c r="N84" s="127">
        <f t="shared" si="18"/>
        <v>10248</v>
      </c>
      <c r="O84" s="126">
        <v>10248</v>
      </c>
      <c r="P84" s="128">
        <v>0</v>
      </c>
      <c r="Q84" s="126">
        <v>0</v>
      </c>
    </row>
    <row r="85" spans="1:17" s="120" customFormat="1" ht="45" customHeight="1">
      <c r="A85" s="130" t="s">
        <v>102</v>
      </c>
      <c r="B85" s="130"/>
      <c r="C85" s="131" t="s">
        <v>567</v>
      </c>
      <c r="D85" s="124">
        <f aca="true" t="shared" si="22" ref="D85:Q86">D87</f>
        <v>36000</v>
      </c>
      <c r="E85" s="124">
        <f t="shared" si="22"/>
        <v>36000</v>
      </c>
      <c r="F85" s="123">
        <f t="shared" si="22"/>
        <v>36000</v>
      </c>
      <c r="G85" s="123">
        <f t="shared" si="22"/>
        <v>22000</v>
      </c>
      <c r="H85" s="123">
        <f t="shared" si="22"/>
        <v>14000</v>
      </c>
      <c r="I85" s="123">
        <f t="shared" si="22"/>
        <v>0</v>
      </c>
      <c r="J85" s="123">
        <f t="shared" si="22"/>
        <v>0</v>
      </c>
      <c r="K85" s="123">
        <f t="shared" si="22"/>
        <v>0</v>
      </c>
      <c r="L85" s="123">
        <f t="shared" si="22"/>
        <v>0</v>
      </c>
      <c r="M85" s="123">
        <f t="shared" si="22"/>
        <v>0</v>
      </c>
      <c r="N85" s="123">
        <f t="shared" si="22"/>
        <v>0</v>
      </c>
      <c r="O85" s="123">
        <f t="shared" si="22"/>
        <v>0</v>
      </c>
      <c r="P85" s="123">
        <f t="shared" si="22"/>
        <v>0</v>
      </c>
      <c r="Q85" s="123">
        <f t="shared" si="22"/>
        <v>0</v>
      </c>
    </row>
    <row r="86" spans="1:17" s="120" customFormat="1" ht="13.5" customHeight="1">
      <c r="A86" s="130"/>
      <c r="B86" s="130"/>
      <c r="C86" s="132">
        <f>D86/D85</f>
        <v>0.5321024999999999</v>
      </c>
      <c r="D86" s="124">
        <f t="shared" si="22"/>
        <v>19155.69</v>
      </c>
      <c r="E86" s="124">
        <f t="shared" si="22"/>
        <v>19155.69</v>
      </c>
      <c r="F86" s="123">
        <f t="shared" si="22"/>
        <v>19155.69</v>
      </c>
      <c r="G86" s="123">
        <f t="shared" si="22"/>
        <v>13505.3</v>
      </c>
      <c r="H86" s="123">
        <f t="shared" si="22"/>
        <v>5650.39</v>
      </c>
      <c r="I86" s="123">
        <f t="shared" si="22"/>
        <v>0</v>
      </c>
      <c r="J86" s="123">
        <f t="shared" si="22"/>
        <v>0</v>
      </c>
      <c r="K86" s="123">
        <f t="shared" si="22"/>
        <v>0</v>
      </c>
      <c r="L86" s="123">
        <f t="shared" si="22"/>
        <v>0</v>
      </c>
      <c r="M86" s="123">
        <f t="shared" si="22"/>
        <v>0</v>
      </c>
      <c r="N86" s="123">
        <f t="shared" si="22"/>
        <v>0</v>
      </c>
      <c r="O86" s="123">
        <f t="shared" si="22"/>
        <v>0</v>
      </c>
      <c r="P86" s="123">
        <f t="shared" si="22"/>
        <v>0</v>
      </c>
      <c r="Q86" s="123">
        <f t="shared" si="22"/>
        <v>0</v>
      </c>
    </row>
    <row r="87" spans="1:17" s="121" customFormat="1" ht="13.5" customHeight="1">
      <c r="A87" s="129"/>
      <c r="B87" s="129" t="s">
        <v>568</v>
      </c>
      <c r="C87" s="133" t="s">
        <v>103</v>
      </c>
      <c r="D87" s="125">
        <f>E87+N87</f>
        <v>36000</v>
      </c>
      <c r="E87" s="125">
        <f>F87+I87+J87+K87+L87+M87</f>
        <v>36000</v>
      </c>
      <c r="F87" s="126">
        <v>36000</v>
      </c>
      <c r="G87" s="126">
        <v>22000</v>
      </c>
      <c r="H87" s="126">
        <v>14000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127">
        <f aca="true" t="shared" si="23" ref="N87:N98">O87+Q87</f>
        <v>0</v>
      </c>
      <c r="O87" s="126">
        <v>0</v>
      </c>
      <c r="P87" s="128">
        <v>0</v>
      </c>
      <c r="Q87" s="126">
        <v>0</v>
      </c>
    </row>
    <row r="88" spans="1:17" s="121" customFormat="1" ht="13.5" customHeight="1">
      <c r="A88" s="129"/>
      <c r="B88" s="129"/>
      <c r="C88" s="134">
        <f>D88/D87</f>
        <v>0.5321024999999999</v>
      </c>
      <c r="D88" s="125">
        <f>E88+N88</f>
        <v>19155.69</v>
      </c>
      <c r="E88" s="125">
        <f>F88+I88+J88+K88+L88+M88</f>
        <v>19155.69</v>
      </c>
      <c r="F88" s="126">
        <f>G88+H88</f>
        <v>19155.69</v>
      </c>
      <c r="G88" s="126">
        <v>13505.3</v>
      </c>
      <c r="H88" s="126">
        <f>428.15+6.1+5216.14</f>
        <v>5650.39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  <c r="N88" s="127">
        <f t="shared" si="23"/>
        <v>0</v>
      </c>
      <c r="O88" s="126">
        <v>0</v>
      </c>
      <c r="P88" s="128">
        <v>0</v>
      </c>
      <c r="Q88" s="126">
        <v>0</v>
      </c>
    </row>
    <row r="89" spans="1:17" s="120" customFormat="1" ht="13.5" customHeight="1">
      <c r="A89" s="130" t="s">
        <v>23</v>
      </c>
      <c r="B89" s="130"/>
      <c r="C89" s="131" t="s">
        <v>24</v>
      </c>
      <c r="D89" s="124">
        <f aca="true" t="shared" si="24" ref="D89:M90">D91</f>
        <v>40000</v>
      </c>
      <c r="E89" s="124">
        <f t="shared" si="24"/>
        <v>40000</v>
      </c>
      <c r="F89" s="123">
        <f t="shared" si="24"/>
        <v>0</v>
      </c>
      <c r="G89" s="123">
        <f t="shared" si="24"/>
        <v>0</v>
      </c>
      <c r="H89" s="123">
        <f t="shared" si="24"/>
        <v>0</v>
      </c>
      <c r="I89" s="123">
        <f t="shared" si="24"/>
        <v>0</v>
      </c>
      <c r="J89" s="123">
        <f t="shared" si="24"/>
        <v>0</v>
      </c>
      <c r="K89" s="123">
        <f t="shared" si="24"/>
        <v>0</v>
      </c>
      <c r="L89" s="123">
        <f t="shared" si="24"/>
        <v>0</v>
      </c>
      <c r="M89" s="123">
        <f t="shared" si="24"/>
        <v>40000</v>
      </c>
      <c r="N89" s="123">
        <f>N91</f>
        <v>0</v>
      </c>
      <c r="O89" s="123">
        <f aca="true" t="shared" si="25" ref="O89:Q90">O91</f>
        <v>0</v>
      </c>
      <c r="P89" s="123">
        <f t="shared" si="25"/>
        <v>0</v>
      </c>
      <c r="Q89" s="123">
        <f t="shared" si="25"/>
        <v>0</v>
      </c>
    </row>
    <row r="90" spans="1:17" s="120" customFormat="1" ht="13.5" customHeight="1">
      <c r="A90" s="130"/>
      <c r="B90" s="130"/>
      <c r="C90" s="132">
        <f>D90/D89</f>
        <v>0</v>
      </c>
      <c r="D90" s="124">
        <f t="shared" si="24"/>
        <v>0</v>
      </c>
      <c r="E90" s="124">
        <f t="shared" si="24"/>
        <v>0</v>
      </c>
      <c r="F90" s="123">
        <f t="shared" si="24"/>
        <v>0</v>
      </c>
      <c r="G90" s="123">
        <f t="shared" si="24"/>
        <v>0</v>
      </c>
      <c r="H90" s="123">
        <f t="shared" si="24"/>
        <v>0</v>
      </c>
      <c r="I90" s="123">
        <f t="shared" si="24"/>
        <v>0</v>
      </c>
      <c r="J90" s="123">
        <f t="shared" si="24"/>
        <v>0</v>
      </c>
      <c r="K90" s="123">
        <f t="shared" si="24"/>
        <v>0</v>
      </c>
      <c r="L90" s="123">
        <f t="shared" si="24"/>
        <v>0</v>
      </c>
      <c r="M90" s="123">
        <f t="shared" si="24"/>
        <v>0</v>
      </c>
      <c r="N90" s="123">
        <f>N92</f>
        <v>0</v>
      </c>
      <c r="O90" s="123">
        <f t="shared" si="25"/>
        <v>0</v>
      </c>
      <c r="P90" s="123">
        <f t="shared" si="25"/>
        <v>0</v>
      </c>
      <c r="Q90" s="123">
        <f t="shared" si="25"/>
        <v>0</v>
      </c>
    </row>
    <row r="91" spans="1:17" s="121" customFormat="1" ht="27" customHeight="1">
      <c r="A91" s="129"/>
      <c r="B91" s="129" t="s">
        <v>569</v>
      </c>
      <c r="C91" s="133" t="s">
        <v>570</v>
      </c>
      <c r="D91" s="125">
        <f>E91+N91</f>
        <v>40000</v>
      </c>
      <c r="E91" s="125">
        <f>F91+I91+J91+K91+L91+M91</f>
        <v>40000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40000</v>
      </c>
      <c r="N91" s="127">
        <f t="shared" si="23"/>
        <v>0</v>
      </c>
      <c r="O91" s="126">
        <v>0</v>
      </c>
      <c r="P91" s="128">
        <v>0</v>
      </c>
      <c r="Q91" s="126">
        <v>0</v>
      </c>
    </row>
    <row r="92" spans="1:17" s="121" customFormat="1" ht="13.5" customHeight="1">
      <c r="A92" s="129"/>
      <c r="B92" s="129"/>
      <c r="C92" s="134">
        <f>D92/D91</f>
        <v>0</v>
      </c>
      <c r="D92" s="125">
        <f>E92+N92</f>
        <v>0</v>
      </c>
      <c r="E92" s="125">
        <f>F92+I92+J92+K92+L92+M92</f>
        <v>0</v>
      </c>
      <c r="F92" s="126">
        <v>0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6">
        <v>0</v>
      </c>
      <c r="N92" s="127">
        <f t="shared" si="23"/>
        <v>0</v>
      </c>
      <c r="O92" s="126">
        <v>0</v>
      </c>
      <c r="P92" s="128">
        <v>0</v>
      </c>
      <c r="Q92" s="126">
        <v>0</v>
      </c>
    </row>
    <row r="93" spans="1:17" s="120" customFormat="1" ht="13.5" customHeight="1">
      <c r="A93" s="130" t="s">
        <v>25</v>
      </c>
      <c r="B93" s="130"/>
      <c r="C93" s="131" t="s">
        <v>64</v>
      </c>
      <c r="D93" s="124">
        <f>D95+D97</f>
        <v>1595132</v>
      </c>
      <c r="E93" s="124">
        <f aca="true" t="shared" si="26" ref="E93:Q94">E95+E97</f>
        <v>1595132</v>
      </c>
      <c r="F93" s="123">
        <f t="shared" si="26"/>
        <v>1595132</v>
      </c>
      <c r="G93" s="123">
        <f t="shared" si="26"/>
        <v>0</v>
      </c>
      <c r="H93" s="123">
        <f t="shared" si="26"/>
        <v>1595132</v>
      </c>
      <c r="I93" s="123">
        <f t="shared" si="26"/>
        <v>0</v>
      </c>
      <c r="J93" s="123">
        <f t="shared" si="26"/>
        <v>0</v>
      </c>
      <c r="K93" s="123">
        <f t="shared" si="26"/>
        <v>0</v>
      </c>
      <c r="L93" s="123">
        <f t="shared" si="26"/>
        <v>0</v>
      </c>
      <c r="M93" s="123">
        <f t="shared" si="26"/>
        <v>0</v>
      </c>
      <c r="N93" s="123">
        <f t="shared" si="26"/>
        <v>0</v>
      </c>
      <c r="O93" s="123">
        <f t="shared" si="26"/>
        <v>0</v>
      </c>
      <c r="P93" s="123">
        <f t="shared" si="26"/>
        <v>0</v>
      </c>
      <c r="Q93" s="123">
        <f t="shared" si="26"/>
        <v>0</v>
      </c>
    </row>
    <row r="94" spans="1:17" s="120" customFormat="1" ht="13.5" customHeight="1">
      <c r="A94" s="130"/>
      <c r="B94" s="130"/>
      <c r="C94" s="132">
        <f>D94/D93</f>
        <v>0.4529907242786177</v>
      </c>
      <c r="D94" s="124">
        <f>D96+D98</f>
        <v>722580</v>
      </c>
      <c r="E94" s="124">
        <f t="shared" si="26"/>
        <v>722580</v>
      </c>
      <c r="F94" s="123">
        <f t="shared" si="26"/>
        <v>722580</v>
      </c>
      <c r="G94" s="123">
        <f t="shared" si="26"/>
        <v>0</v>
      </c>
      <c r="H94" s="123">
        <f t="shared" si="26"/>
        <v>722580</v>
      </c>
      <c r="I94" s="123">
        <f t="shared" si="26"/>
        <v>0</v>
      </c>
      <c r="J94" s="123">
        <f t="shared" si="26"/>
        <v>0</v>
      </c>
      <c r="K94" s="123">
        <f t="shared" si="26"/>
        <v>0</v>
      </c>
      <c r="L94" s="123">
        <f t="shared" si="26"/>
        <v>0</v>
      </c>
      <c r="M94" s="123">
        <f t="shared" si="26"/>
        <v>0</v>
      </c>
      <c r="N94" s="123">
        <f t="shared" si="26"/>
        <v>0</v>
      </c>
      <c r="O94" s="123">
        <f t="shared" si="26"/>
        <v>0</v>
      </c>
      <c r="P94" s="123">
        <f t="shared" si="26"/>
        <v>0</v>
      </c>
      <c r="Q94" s="123">
        <f t="shared" si="26"/>
        <v>0</v>
      </c>
    </row>
    <row r="95" spans="1:17" s="121" customFormat="1" ht="13.5" customHeight="1">
      <c r="A95" s="129"/>
      <c r="B95" s="129" t="s">
        <v>571</v>
      </c>
      <c r="C95" s="133" t="s">
        <v>572</v>
      </c>
      <c r="D95" s="125">
        <f>E95+N95</f>
        <v>150000</v>
      </c>
      <c r="E95" s="125">
        <f>F95+I95+J95+K95+L95+M95</f>
        <v>150000</v>
      </c>
      <c r="F95" s="126">
        <v>150000</v>
      </c>
      <c r="G95" s="126">
        <v>0</v>
      </c>
      <c r="H95" s="126">
        <v>150000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  <c r="N95" s="127">
        <f t="shared" si="23"/>
        <v>0</v>
      </c>
      <c r="O95" s="126">
        <v>0</v>
      </c>
      <c r="P95" s="128">
        <v>0</v>
      </c>
      <c r="Q95" s="126">
        <v>0</v>
      </c>
    </row>
    <row r="96" spans="1:17" s="121" customFormat="1" ht="13.5" customHeight="1">
      <c r="A96" s="129"/>
      <c r="B96" s="129"/>
      <c r="C96" s="134">
        <f>D96/D95</f>
        <v>0</v>
      </c>
      <c r="D96" s="125">
        <f>E96+N96</f>
        <v>0</v>
      </c>
      <c r="E96" s="125">
        <f>F96+I96+J96+K96+L96+M96</f>
        <v>0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  <c r="N96" s="127">
        <f t="shared" si="23"/>
        <v>0</v>
      </c>
      <c r="O96" s="126">
        <v>0</v>
      </c>
      <c r="P96" s="128">
        <v>0</v>
      </c>
      <c r="Q96" s="126">
        <v>0</v>
      </c>
    </row>
    <row r="97" spans="1:17" s="121" customFormat="1" ht="13.5" customHeight="1">
      <c r="A97" s="129"/>
      <c r="B97" s="129" t="s">
        <v>194</v>
      </c>
      <c r="C97" s="133" t="s">
        <v>259</v>
      </c>
      <c r="D97" s="125">
        <f>E97+N97</f>
        <v>1445132</v>
      </c>
      <c r="E97" s="125">
        <f>F97+I97+J97+K97+L97+M97</f>
        <v>1445132</v>
      </c>
      <c r="F97" s="126">
        <v>1445132</v>
      </c>
      <c r="G97" s="126">
        <v>0</v>
      </c>
      <c r="H97" s="126">
        <v>1445132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  <c r="N97" s="127">
        <f t="shared" si="23"/>
        <v>0</v>
      </c>
      <c r="O97" s="126">
        <v>0</v>
      </c>
      <c r="P97" s="128">
        <v>0</v>
      </c>
      <c r="Q97" s="126">
        <v>0</v>
      </c>
    </row>
    <row r="98" spans="1:17" s="121" customFormat="1" ht="13.5" customHeight="1">
      <c r="A98" s="129"/>
      <c r="B98" s="129"/>
      <c r="C98" s="134">
        <f>D98/D97</f>
        <v>0.5000096876963488</v>
      </c>
      <c r="D98" s="125">
        <f>E98+N98</f>
        <v>722580</v>
      </c>
      <c r="E98" s="125">
        <f>F98+I98+J98+K98+L98+M98</f>
        <v>722580</v>
      </c>
      <c r="F98" s="126">
        <v>722580</v>
      </c>
      <c r="G98" s="126">
        <v>0</v>
      </c>
      <c r="H98" s="126">
        <v>722580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  <c r="N98" s="127">
        <f t="shared" si="23"/>
        <v>0</v>
      </c>
      <c r="O98" s="126">
        <v>0</v>
      </c>
      <c r="P98" s="128">
        <v>0</v>
      </c>
      <c r="Q98" s="126">
        <v>0</v>
      </c>
    </row>
    <row r="99" spans="1:17" s="120" customFormat="1" ht="13.5" customHeight="1">
      <c r="A99" s="130" t="s">
        <v>26</v>
      </c>
      <c r="B99" s="130"/>
      <c r="C99" s="131" t="s">
        <v>48</v>
      </c>
      <c r="D99" s="124">
        <f>D101+D103+D105+D107+D109+D111+D113</f>
        <v>7641474</v>
      </c>
      <c r="E99" s="124">
        <f aca="true" t="shared" si="27" ref="E99:Q100">E101+E103+E105+E107+E109+E111+E113</f>
        <v>4895734</v>
      </c>
      <c r="F99" s="123">
        <f t="shared" si="27"/>
        <v>4694608</v>
      </c>
      <c r="G99" s="123">
        <f t="shared" si="27"/>
        <v>3465876</v>
      </c>
      <c r="H99" s="123">
        <f t="shared" si="27"/>
        <v>1228732</v>
      </c>
      <c r="I99" s="123">
        <f t="shared" si="27"/>
        <v>23500</v>
      </c>
      <c r="J99" s="123">
        <f t="shared" si="27"/>
        <v>177626</v>
      </c>
      <c r="K99" s="123">
        <f t="shared" si="27"/>
        <v>0</v>
      </c>
      <c r="L99" s="123">
        <f t="shared" si="27"/>
        <v>0</v>
      </c>
      <c r="M99" s="123">
        <f t="shared" si="27"/>
        <v>0</v>
      </c>
      <c r="N99" s="123">
        <f t="shared" si="27"/>
        <v>2745740</v>
      </c>
      <c r="O99" s="123">
        <f t="shared" si="27"/>
        <v>2745740</v>
      </c>
      <c r="P99" s="123">
        <f t="shared" si="27"/>
        <v>0</v>
      </c>
      <c r="Q99" s="123">
        <f t="shared" si="27"/>
        <v>0</v>
      </c>
    </row>
    <row r="100" spans="1:17" s="120" customFormat="1" ht="13.5" customHeight="1">
      <c r="A100" s="130"/>
      <c r="B100" s="130"/>
      <c r="C100" s="132">
        <f>D100/D99</f>
        <v>0.3171163351468578</v>
      </c>
      <c r="D100" s="124">
        <f>D102+D104+D106+D108+D110+D112+D114</f>
        <v>2423236.23</v>
      </c>
      <c r="E100" s="124">
        <f t="shared" si="27"/>
        <v>2335145.15</v>
      </c>
      <c r="F100" s="123">
        <f t="shared" si="27"/>
        <v>2238913.08</v>
      </c>
      <c r="G100" s="123">
        <f t="shared" si="27"/>
        <v>1711050.0699999998</v>
      </c>
      <c r="H100" s="123">
        <f t="shared" si="27"/>
        <v>527863.0099999998</v>
      </c>
      <c r="I100" s="123">
        <f t="shared" si="27"/>
        <v>14100</v>
      </c>
      <c r="J100" s="123">
        <f t="shared" si="27"/>
        <v>82132.07</v>
      </c>
      <c r="K100" s="123">
        <f t="shared" si="27"/>
        <v>0</v>
      </c>
      <c r="L100" s="123">
        <f t="shared" si="27"/>
        <v>0</v>
      </c>
      <c r="M100" s="123">
        <f t="shared" si="27"/>
        <v>0</v>
      </c>
      <c r="N100" s="123">
        <f t="shared" si="27"/>
        <v>88091.08</v>
      </c>
      <c r="O100" s="123">
        <f t="shared" si="27"/>
        <v>88091.08</v>
      </c>
      <c r="P100" s="123">
        <f t="shared" si="27"/>
        <v>0</v>
      </c>
      <c r="Q100" s="123">
        <f t="shared" si="27"/>
        <v>0</v>
      </c>
    </row>
    <row r="101" spans="1:17" s="121" customFormat="1" ht="13.5" customHeight="1">
      <c r="A101" s="129"/>
      <c r="B101" s="129" t="s">
        <v>573</v>
      </c>
      <c r="C101" s="133" t="s">
        <v>57</v>
      </c>
      <c r="D101" s="125">
        <f>E101+N101</f>
        <v>5384575</v>
      </c>
      <c r="E101" s="125">
        <f>F101+I101+J101+K101+L101+M101</f>
        <v>2817875</v>
      </c>
      <c r="F101" s="126">
        <v>2714656</v>
      </c>
      <c r="G101" s="126">
        <v>1911256</v>
      </c>
      <c r="H101" s="126">
        <v>803400</v>
      </c>
      <c r="I101" s="126">
        <v>0</v>
      </c>
      <c r="J101" s="126">
        <v>103219</v>
      </c>
      <c r="K101" s="126">
        <v>0</v>
      </c>
      <c r="L101" s="126">
        <v>0</v>
      </c>
      <c r="M101" s="126">
        <v>0</v>
      </c>
      <c r="N101" s="127">
        <f aca="true" t="shared" si="28" ref="N101:N114">O101+Q101</f>
        <v>2566700</v>
      </c>
      <c r="O101" s="126">
        <v>2566700</v>
      </c>
      <c r="P101" s="128">
        <v>0</v>
      </c>
      <c r="Q101" s="126">
        <v>0</v>
      </c>
    </row>
    <row r="102" spans="1:17" s="121" customFormat="1" ht="13.5" customHeight="1">
      <c r="A102" s="129"/>
      <c r="B102" s="129"/>
      <c r="C102" s="134">
        <f>D102/D101</f>
        <v>0.25771818574353594</v>
      </c>
      <c r="D102" s="125">
        <f>E102+N102</f>
        <v>1387702.9</v>
      </c>
      <c r="E102" s="125">
        <f>F102+I102+J102+K102+L102+M102</f>
        <v>1323523.8199999998</v>
      </c>
      <c r="F102" s="126">
        <f>G102+H102</f>
        <v>1277449.41</v>
      </c>
      <c r="G102" s="126">
        <f>705695.52+102978.25+127480.75+20560.79</f>
        <v>956715.31</v>
      </c>
      <c r="H102" s="126">
        <f>1387702.9-G102-J102-O102</f>
        <v>320734.0999999998</v>
      </c>
      <c r="I102" s="126">
        <v>0</v>
      </c>
      <c r="J102" s="126">
        <v>46074.41</v>
      </c>
      <c r="K102" s="126">
        <v>0</v>
      </c>
      <c r="L102" s="126">
        <v>0</v>
      </c>
      <c r="M102" s="126">
        <v>0</v>
      </c>
      <c r="N102" s="127">
        <f t="shared" si="28"/>
        <v>64179.08</v>
      </c>
      <c r="O102" s="126">
        <f>58689.08+5490</f>
        <v>64179.08</v>
      </c>
      <c r="P102" s="128">
        <v>0</v>
      </c>
      <c r="Q102" s="126">
        <v>0</v>
      </c>
    </row>
    <row r="103" spans="1:17" s="121" customFormat="1" ht="13.5" customHeight="1">
      <c r="A103" s="129"/>
      <c r="B103" s="129" t="s">
        <v>574</v>
      </c>
      <c r="C103" s="133" t="s">
        <v>575</v>
      </c>
      <c r="D103" s="125">
        <f aca="true" t="shared" si="29" ref="D103:D113">E103+N103</f>
        <v>82742</v>
      </c>
      <c r="E103" s="125">
        <f aca="true" t="shared" si="30" ref="E103:E113">F103+I103+J103+K103+L103+M103</f>
        <v>82742</v>
      </c>
      <c r="F103" s="126">
        <v>79108</v>
      </c>
      <c r="G103" s="126">
        <v>65558</v>
      </c>
      <c r="H103" s="126">
        <v>13550</v>
      </c>
      <c r="I103" s="126">
        <v>0</v>
      </c>
      <c r="J103" s="126">
        <v>3634</v>
      </c>
      <c r="K103" s="126">
        <v>0</v>
      </c>
      <c r="L103" s="126">
        <v>0</v>
      </c>
      <c r="M103" s="126">
        <v>0</v>
      </c>
      <c r="N103" s="127">
        <f t="shared" si="28"/>
        <v>0</v>
      </c>
      <c r="O103" s="126">
        <v>0</v>
      </c>
      <c r="P103" s="128">
        <v>0</v>
      </c>
      <c r="Q103" s="126">
        <v>0</v>
      </c>
    </row>
    <row r="104" spans="1:17" s="121" customFormat="1" ht="13.5" customHeight="1">
      <c r="A104" s="129"/>
      <c r="B104" s="129"/>
      <c r="C104" s="134">
        <f>D104/D103</f>
        <v>0.37410976287737785</v>
      </c>
      <c r="D104" s="125">
        <f>E104+N104</f>
        <v>30954.59</v>
      </c>
      <c r="E104" s="125">
        <f>F104+I104+J104+K104+L104+M104</f>
        <v>30954.59</v>
      </c>
      <c r="F104" s="126">
        <f>G104+H104</f>
        <v>29618.39</v>
      </c>
      <c r="G104" s="126">
        <f>18837.2+3991.39+3452.82+560.23</f>
        <v>26841.64</v>
      </c>
      <c r="H104" s="126">
        <f>30954.59-G104-J104-O104</f>
        <v>2776.750000000001</v>
      </c>
      <c r="I104" s="126">
        <v>0</v>
      </c>
      <c r="J104" s="126">
        <v>1336.2</v>
      </c>
      <c r="K104" s="126">
        <v>0</v>
      </c>
      <c r="L104" s="126">
        <v>0</v>
      </c>
      <c r="M104" s="126">
        <v>0</v>
      </c>
      <c r="N104" s="127">
        <f t="shared" si="28"/>
        <v>0</v>
      </c>
      <c r="O104" s="126">
        <v>0</v>
      </c>
      <c r="P104" s="128">
        <v>0</v>
      </c>
      <c r="Q104" s="126">
        <v>0</v>
      </c>
    </row>
    <row r="105" spans="1:17" s="121" customFormat="1" ht="13.5" customHeight="1">
      <c r="A105" s="129"/>
      <c r="B105" s="129" t="s">
        <v>576</v>
      </c>
      <c r="C105" s="133" t="s">
        <v>577</v>
      </c>
      <c r="D105" s="125">
        <f t="shared" si="29"/>
        <v>443247</v>
      </c>
      <c r="E105" s="125">
        <f t="shared" si="30"/>
        <v>393247</v>
      </c>
      <c r="F105" s="126">
        <v>381175</v>
      </c>
      <c r="G105" s="126">
        <v>321472</v>
      </c>
      <c r="H105" s="126">
        <v>59703</v>
      </c>
      <c r="I105" s="126">
        <v>0</v>
      </c>
      <c r="J105" s="126">
        <v>12072</v>
      </c>
      <c r="K105" s="126">
        <v>0</v>
      </c>
      <c r="L105" s="126">
        <v>0</v>
      </c>
      <c r="M105" s="126">
        <v>0</v>
      </c>
      <c r="N105" s="127">
        <f t="shared" si="28"/>
        <v>50000</v>
      </c>
      <c r="O105" s="126">
        <v>50000</v>
      </c>
      <c r="P105" s="128">
        <v>0</v>
      </c>
      <c r="Q105" s="126">
        <v>0</v>
      </c>
    </row>
    <row r="106" spans="1:17" s="121" customFormat="1" ht="13.5" customHeight="1">
      <c r="A106" s="129"/>
      <c r="B106" s="129"/>
      <c r="C106" s="134">
        <f>D106/D105</f>
        <v>0.43101859685457544</v>
      </c>
      <c r="D106" s="125">
        <f>E106+N106</f>
        <v>191047.7</v>
      </c>
      <c r="E106" s="125">
        <f>F106+I106+J106+K106+L106+M106</f>
        <v>191047.7</v>
      </c>
      <c r="F106" s="126">
        <f>G106+H106</f>
        <v>186220.1</v>
      </c>
      <c r="G106" s="126">
        <f>119876.01+15398.71+21904.14+3359.22</f>
        <v>160538.08</v>
      </c>
      <c r="H106" s="126">
        <f>191047.7-G106-J106-O106</f>
        <v>25682.020000000026</v>
      </c>
      <c r="I106" s="126">
        <v>0</v>
      </c>
      <c r="J106" s="126">
        <v>4827.6</v>
      </c>
      <c r="K106" s="126">
        <v>0</v>
      </c>
      <c r="L106" s="126">
        <v>0</v>
      </c>
      <c r="M106" s="126">
        <v>0</v>
      </c>
      <c r="N106" s="127">
        <f t="shared" si="28"/>
        <v>0</v>
      </c>
      <c r="O106" s="126">
        <v>0</v>
      </c>
      <c r="P106" s="128">
        <v>0</v>
      </c>
      <c r="Q106" s="126">
        <v>0</v>
      </c>
    </row>
    <row r="107" spans="1:17" s="121" customFormat="1" ht="13.5" customHeight="1">
      <c r="A107" s="129"/>
      <c r="B107" s="129" t="s">
        <v>267</v>
      </c>
      <c r="C107" s="133" t="s">
        <v>58</v>
      </c>
      <c r="D107" s="125">
        <f t="shared" si="29"/>
        <v>1488963</v>
      </c>
      <c r="E107" s="125">
        <f t="shared" si="30"/>
        <v>1359923</v>
      </c>
      <c r="F107" s="126">
        <v>1301222</v>
      </c>
      <c r="G107" s="126">
        <v>1117977</v>
      </c>
      <c r="H107" s="126">
        <v>183245</v>
      </c>
      <c r="I107" s="126">
        <v>0</v>
      </c>
      <c r="J107" s="126">
        <v>58701</v>
      </c>
      <c r="K107" s="126">
        <v>0</v>
      </c>
      <c r="L107" s="126">
        <v>0</v>
      </c>
      <c r="M107" s="126">
        <v>0</v>
      </c>
      <c r="N107" s="127">
        <f t="shared" si="28"/>
        <v>129040</v>
      </c>
      <c r="O107" s="126">
        <v>129040</v>
      </c>
      <c r="P107" s="128">
        <v>0</v>
      </c>
      <c r="Q107" s="126">
        <v>0</v>
      </c>
    </row>
    <row r="108" spans="1:17" s="121" customFormat="1" ht="13.5" customHeight="1">
      <c r="A108" s="129"/>
      <c r="B108" s="129"/>
      <c r="C108" s="134">
        <f>D108/D107</f>
        <v>0.45967028059125714</v>
      </c>
      <c r="D108" s="125">
        <f>E108+N108</f>
        <v>684432.04</v>
      </c>
      <c r="E108" s="125">
        <f>F108+I108+J108+K108+L108+M108</f>
        <v>660520.04</v>
      </c>
      <c r="F108" s="126">
        <f>G108+H108</f>
        <v>630626.18</v>
      </c>
      <c r="G108" s="126">
        <f>407093.26+54132.6+72592.92+11672.61</f>
        <v>545491.39</v>
      </c>
      <c r="H108" s="126">
        <f>684432.04-G108-J108-O108</f>
        <v>85134.79000000002</v>
      </c>
      <c r="I108" s="126">
        <v>0</v>
      </c>
      <c r="J108" s="126">
        <v>29893.86</v>
      </c>
      <c r="K108" s="126">
        <v>0</v>
      </c>
      <c r="L108" s="126">
        <v>0</v>
      </c>
      <c r="M108" s="126">
        <v>0</v>
      </c>
      <c r="N108" s="127">
        <f t="shared" si="28"/>
        <v>23912</v>
      </c>
      <c r="O108" s="126">
        <v>23912</v>
      </c>
      <c r="P108" s="128">
        <v>0</v>
      </c>
      <c r="Q108" s="126">
        <v>0</v>
      </c>
    </row>
    <row r="109" spans="1:17" s="121" customFormat="1" ht="13.5" customHeight="1">
      <c r="A109" s="129"/>
      <c r="B109" s="129" t="s">
        <v>204</v>
      </c>
      <c r="C109" s="133" t="s">
        <v>68</v>
      </c>
      <c r="D109" s="125">
        <f t="shared" si="29"/>
        <v>202063</v>
      </c>
      <c r="E109" s="125">
        <f t="shared" si="30"/>
        <v>202063</v>
      </c>
      <c r="F109" s="126">
        <v>178563</v>
      </c>
      <c r="G109" s="126">
        <v>48613</v>
      </c>
      <c r="H109" s="126">
        <v>129950</v>
      </c>
      <c r="I109" s="126">
        <v>23500</v>
      </c>
      <c r="J109" s="126">
        <v>0</v>
      </c>
      <c r="K109" s="126">
        <v>0</v>
      </c>
      <c r="L109" s="126">
        <v>0</v>
      </c>
      <c r="M109" s="126">
        <v>0</v>
      </c>
      <c r="N109" s="127">
        <f t="shared" si="28"/>
        <v>0</v>
      </c>
      <c r="O109" s="126">
        <v>0</v>
      </c>
      <c r="P109" s="128">
        <v>0</v>
      </c>
      <c r="Q109" s="126">
        <v>0</v>
      </c>
    </row>
    <row r="110" spans="1:17" s="121" customFormat="1" ht="13.5" customHeight="1">
      <c r="A110" s="129"/>
      <c r="B110" s="129"/>
      <c r="C110" s="134">
        <f>D110/D109</f>
        <v>0.5936312932105333</v>
      </c>
      <c r="D110" s="125">
        <f>E110+N110</f>
        <v>119950.91999999998</v>
      </c>
      <c r="E110" s="125">
        <f>F110+I110+J110+K110+L110+M110</f>
        <v>119950.91999999998</v>
      </c>
      <c r="F110" s="126">
        <f>G110+H110</f>
        <v>105850.91999999998</v>
      </c>
      <c r="G110" s="126">
        <f>14993.64+1857.11+2791.79+418.89+1402.22</f>
        <v>21463.65</v>
      </c>
      <c r="H110" s="126">
        <f>119950.92-G110-J110-O110-I110</f>
        <v>84387.26999999999</v>
      </c>
      <c r="I110" s="126">
        <v>14100</v>
      </c>
      <c r="J110" s="126">
        <v>0</v>
      </c>
      <c r="K110" s="126">
        <v>0</v>
      </c>
      <c r="L110" s="126">
        <v>0</v>
      </c>
      <c r="M110" s="126">
        <v>0</v>
      </c>
      <c r="N110" s="127">
        <f t="shared" si="28"/>
        <v>0</v>
      </c>
      <c r="O110" s="126">
        <v>0</v>
      </c>
      <c r="P110" s="128">
        <v>0</v>
      </c>
      <c r="Q110" s="126">
        <v>0</v>
      </c>
    </row>
    <row r="111" spans="1:17" s="121" customFormat="1" ht="13.5" customHeight="1">
      <c r="A111" s="129"/>
      <c r="B111" s="129" t="s">
        <v>578</v>
      </c>
      <c r="C111" s="133" t="s">
        <v>579</v>
      </c>
      <c r="D111" s="125">
        <f t="shared" si="29"/>
        <v>23734</v>
      </c>
      <c r="E111" s="125">
        <f t="shared" si="30"/>
        <v>23734</v>
      </c>
      <c r="F111" s="126">
        <v>23734</v>
      </c>
      <c r="G111" s="126">
        <v>0</v>
      </c>
      <c r="H111" s="126">
        <v>23734</v>
      </c>
      <c r="I111" s="126">
        <v>0</v>
      </c>
      <c r="J111" s="126">
        <v>0</v>
      </c>
      <c r="K111" s="126">
        <v>0</v>
      </c>
      <c r="L111" s="126">
        <v>0</v>
      </c>
      <c r="M111" s="126">
        <v>0</v>
      </c>
      <c r="N111" s="127">
        <f t="shared" si="28"/>
        <v>0</v>
      </c>
      <c r="O111" s="126">
        <v>0</v>
      </c>
      <c r="P111" s="128">
        <v>0</v>
      </c>
      <c r="Q111" s="126">
        <v>0</v>
      </c>
    </row>
    <row r="112" spans="1:17" s="121" customFormat="1" ht="13.5" customHeight="1">
      <c r="A112" s="129"/>
      <c r="B112" s="129"/>
      <c r="C112" s="134">
        <f>D112/D111</f>
        <v>0.3854419819667987</v>
      </c>
      <c r="D112" s="125">
        <f>E112+N112</f>
        <v>9148.08</v>
      </c>
      <c r="E112" s="125">
        <f>F112+I112+J112+K112+L112+M112</f>
        <v>9148.08</v>
      </c>
      <c r="F112" s="126">
        <f>G112+H112</f>
        <v>9148.08</v>
      </c>
      <c r="G112" s="126">
        <v>0</v>
      </c>
      <c r="H112" s="126">
        <v>9148.08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  <c r="N112" s="127">
        <f t="shared" si="28"/>
        <v>0</v>
      </c>
      <c r="O112" s="126">
        <v>0</v>
      </c>
      <c r="P112" s="128">
        <v>0</v>
      </c>
      <c r="Q112" s="126">
        <v>0</v>
      </c>
    </row>
    <row r="113" spans="1:17" s="121" customFormat="1" ht="13.5" customHeight="1">
      <c r="A113" s="129"/>
      <c r="B113" s="129" t="s">
        <v>580</v>
      </c>
      <c r="C113" s="133" t="s">
        <v>54</v>
      </c>
      <c r="D113" s="125">
        <f t="shared" si="29"/>
        <v>16150</v>
      </c>
      <c r="E113" s="125">
        <f t="shared" si="30"/>
        <v>16150</v>
      </c>
      <c r="F113" s="126">
        <v>16150</v>
      </c>
      <c r="G113" s="126">
        <v>1000</v>
      </c>
      <c r="H113" s="126">
        <v>15150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  <c r="N113" s="127">
        <f t="shared" si="28"/>
        <v>0</v>
      </c>
      <c r="O113" s="126">
        <v>0</v>
      </c>
      <c r="P113" s="128">
        <v>0</v>
      </c>
      <c r="Q113" s="126">
        <v>0</v>
      </c>
    </row>
    <row r="114" spans="1:17" s="121" customFormat="1" ht="13.5" customHeight="1">
      <c r="A114" s="129"/>
      <c r="B114" s="129"/>
      <c r="C114" s="134">
        <f>D114/D113</f>
        <v>0</v>
      </c>
      <c r="D114" s="125">
        <f>E114+N114</f>
        <v>0</v>
      </c>
      <c r="E114" s="125">
        <f>F114+I114+J114+K114+L114+M114</f>
        <v>0</v>
      </c>
      <c r="F114" s="126">
        <f>G114+H114</f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  <c r="N114" s="127">
        <f t="shared" si="28"/>
        <v>0</v>
      </c>
      <c r="O114" s="126">
        <v>0</v>
      </c>
      <c r="P114" s="128">
        <v>0</v>
      </c>
      <c r="Q114" s="126">
        <v>0</v>
      </c>
    </row>
    <row r="115" spans="1:17" s="120" customFormat="1" ht="13.5" customHeight="1">
      <c r="A115" s="130" t="s">
        <v>581</v>
      </c>
      <c r="B115" s="130"/>
      <c r="C115" s="131" t="s">
        <v>260</v>
      </c>
      <c r="D115" s="124">
        <f aca="true" t="shared" si="31" ref="D115:Q116">D117</f>
        <v>50000</v>
      </c>
      <c r="E115" s="124">
        <f t="shared" si="31"/>
        <v>0</v>
      </c>
      <c r="F115" s="123">
        <f t="shared" si="31"/>
        <v>0</v>
      </c>
      <c r="G115" s="123">
        <f t="shared" si="31"/>
        <v>0</v>
      </c>
      <c r="H115" s="123">
        <f t="shared" si="31"/>
        <v>0</v>
      </c>
      <c r="I115" s="123">
        <f t="shared" si="31"/>
        <v>0</v>
      </c>
      <c r="J115" s="123">
        <f t="shared" si="31"/>
        <v>0</v>
      </c>
      <c r="K115" s="123">
        <f t="shared" si="31"/>
        <v>0</v>
      </c>
      <c r="L115" s="123">
        <f t="shared" si="31"/>
        <v>0</v>
      </c>
      <c r="M115" s="123">
        <f t="shared" si="31"/>
        <v>0</v>
      </c>
      <c r="N115" s="123">
        <f t="shared" si="31"/>
        <v>50000</v>
      </c>
      <c r="O115" s="123">
        <f t="shared" si="31"/>
        <v>50000</v>
      </c>
      <c r="P115" s="123">
        <f t="shared" si="31"/>
        <v>0</v>
      </c>
      <c r="Q115" s="123">
        <f t="shared" si="31"/>
        <v>0</v>
      </c>
    </row>
    <row r="116" spans="1:17" s="120" customFormat="1" ht="13.5" customHeight="1">
      <c r="A116" s="130"/>
      <c r="B116" s="130"/>
      <c r="C116" s="132">
        <f>D116/D115</f>
        <v>0</v>
      </c>
      <c r="D116" s="124">
        <f t="shared" si="31"/>
        <v>0</v>
      </c>
      <c r="E116" s="124">
        <f t="shared" si="31"/>
        <v>0</v>
      </c>
      <c r="F116" s="123">
        <f t="shared" si="31"/>
        <v>0</v>
      </c>
      <c r="G116" s="123">
        <f t="shared" si="31"/>
        <v>0</v>
      </c>
      <c r="H116" s="123">
        <f t="shared" si="31"/>
        <v>0</v>
      </c>
      <c r="I116" s="123">
        <f t="shared" si="31"/>
        <v>0</v>
      </c>
      <c r="J116" s="123">
        <f t="shared" si="31"/>
        <v>0</v>
      </c>
      <c r="K116" s="123">
        <f t="shared" si="31"/>
        <v>0</v>
      </c>
      <c r="L116" s="123">
        <f t="shared" si="31"/>
        <v>0</v>
      </c>
      <c r="M116" s="123">
        <f t="shared" si="31"/>
        <v>0</v>
      </c>
      <c r="N116" s="123">
        <f t="shared" si="31"/>
        <v>0</v>
      </c>
      <c r="O116" s="123">
        <f t="shared" si="31"/>
        <v>0</v>
      </c>
      <c r="P116" s="123">
        <f t="shared" si="31"/>
        <v>0</v>
      </c>
      <c r="Q116" s="123">
        <f t="shared" si="31"/>
        <v>0</v>
      </c>
    </row>
    <row r="117" spans="1:17" s="121" customFormat="1" ht="13.5" customHeight="1">
      <c r="A117" s="129"/>
      <c r="B117" s="129" t="s">
        <v>582</v>
      </c>
      <c r="C117" s="133" t="s">
        <v>54</v>
      </c>
      <c r="D117" s="125">
        <f>E117+N117</f>
        <v>50000</v>
      </c>
      <c r="E117" s="125">
        <f>F117+I117+J117+K117+L117+M117</f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27">
        <f>O117+Q117</f>
        <v>50000</v>
      </c>
      <c r="O117" s="126">
        <v>50000</v>
      </c>
      <c r="P117" s="128">
        <v>0</v>
      </c>
      <c r="Q117" s="126">
        <v>0</v>
      </c>
    </row>
    <row r="118" spans="1:17" s="121" customFormat="1" ht="13.5" customHeight="1">
      <c r="A118" s="129"/>
      <c r="B118" s="129"/>
      <c r="C118" s="134">
        <f>D118/D117</f>
        <v>0</v>
      </c>
      <c r="D118" s="125">
        <f>E118+N118</f>
        <v>0</v>
      </c>
      <c r="E118" s="125">
        <f>F118+I118+J118+K118+L118+M118</f>
        <v>0</v>
      </c>
      <c r="F118" s="126">
        <v>0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  <c r="N118" s="127">
        <f>O118+Q118</f>
        <v>0</v>
      </c>
      <c r="O118" s="126">
        <v>0</v>
      </c>
      <c r="P118" s="128">
        <v>0</v>
      </c>
      <c r="Q118" s="126">
        <v>0</v>
      </c>
    </row>
    <row r="119" spans="1:17" s="120" customFormat="1" ht="13.5" customHeight="1">
      <c r="A119" s="130" t="s">
        <v>27</v>
      </c>
      <c r="B119" s="130"/>
      <c r="C119" s="131" t="s">
        <v>49</v>
      </c>
      <c r="D119" s="124">
        <f>D121+D123+D125</f>
        <v>503886.12</v>
      </c>
      <c r="E119" s="124">
        <f aca="true" t="shared" si="32" ref="E119:Q120">E121+E123+E125</f>
        <v>353886.12</v>
      </c>
      <c r="F119" s="123">
        <f t="shared" si="32"/>
        <v>353886.12</v>
      </c>
      <c r="G119" s="123">
        <f t="shared" si="32"/>
        <v>8656</v>
      </c>
      <c r="H119" s="123">
        <f t="shared" si="32"/>
        <v>345230.12</v>
      </c>
      <c r="I119" s="123">
        <f t="shared" si="32"/>
        <v>0</v>
      </c>
      <c r="J119" s="123">
        <f t="shared" si="32"/>
        <v>0</v>
      </c>
      <c r="K119" s="123">
        <f t="shared" si="32"/>
        <v>0</v>
      </c>
      <c r="L119" s="123">
        <f t="shared" si="32"/>
        <v>0</v>
      </c>
      <c r="M119" s="123">
        <f t="shared" si="32"/>
        <v>0</v>
      </c>
      <c r="N119" s="123">
        <f t="shared" si="32"/>
        <v>150000</v>
      </c>
      <c r="O119" s="123">
        <f t="shared" si="32"/>
        <v>150000</v>
      </c>
      <c r="P119" s="123">
        <f t="shared" si="32"/>
        <v>0</v>
      </c>
      <c r="Q119" s="123">
        <f t="shared" si="32"/>
        <v>0</v>
      </c>
    </row>
    <row r="120" spans="1:17" s="120" customFormat="1" ht="13.5" customHeight="1">
      <c r="A120" s="130"/>
      <c r="B120" s="130"/>
      <c r="C120" s="132">
        <f>D120/D119</f>
        <v>0.1431616334262194</v>
      </c>
      <c r="D120" s="124">
        <f>D122+D124+D126</f>
        <v>72137.16</v>
      </c>
      <c r="E120" s="124">
        <f t="shared" si="32"/>
        <v>72137.16</v>
      </c>
      <c r="F120" s="123">
        <f t="shared" si="32"/>
        <v>72137.16</v>
      </c>
      <c r="G120" s="123">
        <f t="shared" si="32"/>
        <v>3856.0200000000004</v>
      </c>
      <c r="H120" s="123">
        <f t="shared" si="32"/>
        <v>68281.14000000001</v>
      </c>
      <c r="I120" s="123">
        <f t="shared" si="32"/>
        <v>0</v>
      </c>
      <c r="J120" s="123">
        <f t="shared" si="32"/>
        <v>0</v>
      </c>
      <c r="K120" s="123">
        <f t="shared" si="32"/>
        <v>0</v>
      </c>
      <c r="L120" s="123">
        <f t="shared" si="32"/>
        <v>0</v>
      </c>
      <c r="M120" s="123">
        <f t="shared" si="32"/>
        <v>0</v>
      </c>
      <c r="N120" s="123">
        <f t="shared" si="32"/>
        <v>0</v>
      </c>
      <c r="O120" s="123">
        <f t="shared" si="32"/>
        <v>0</v>
      </c>
      <c r="P120" s="123">
        <f t="shared" si="32"/>
        <v>0</v>
      </c>
      <c r="Q120" s="123">
        <f t="shared" si="32"/>
        <v>0</v>
      </c>
    </row>
    <row r="121" spans="1:17" s="121" customFormat="1" ht="13.5" customHeight="1">
      <c r="A121" s="129"/>
      <c r="B121" s="129" t="s">
        <v>193</v>
      </c>
      <c r="C121" s="133" t="s">
        <v>60</v>
      </c>
      <c r="D121" s="125">
        <f aca="true" t="shared" si="33" ref="D121:D126">E121+N121</f>
        <v>420000</v>
      </c>
      <c r="E121" s="125">
        <f aca="true" t="shared" si="34" ref="E121:E126">F121+I121+J121+K121+L121+M121</f>
        <v>270000</v>
      </c>
      <c r="F121" s="126">
        <v>270000</v>
      </c>
      <c r="G121" s="126">
        <v>0</v>
      </c>
      <c r="H121" s="126">
        <v>270000</v>
      </c>
      <c r="I121" s="126">
        <v>0</v>
      </c>
      <c r="J121" s="126">
        <v>0</v>
      </c>
      <c r="K121" s="126">
        <v>0</v>
      </c>
      <c r="L121" s="126">
        <v>0</v>
      </c>
      <c r="M121" s="126">
        <v>0</v>
      </c>
      <c r="N121" s="127">
        <f aca="true" t="shared" si="35" ref="N121:N126">O121+Q121</f>
        <v>150000</v>
      </c>
      <c r="O121" s="126">
        <v>150000</v>
      </c>
      <c r="P121" s="128">
        <v>0</v>
      </c>
      <c r="Q121" s="126">
        <v>0</v>
      </c>
    </row>
    <row r="122" spans="1:17" s="121" customFormat="1" ht="13.5" customHeight="1">
      <c r="A122" s="129"/>
      <c r="B122" s="129"/>
      <c r="C122" s="134">
        <f>D122/D121</f>
        <v>0.12434390476190477</v>
      </c>
      <c r="D122" s="125">
        <f t="shared" si="33"/>
        <v>52224.44</v>
      </c>
      <c r="E122" s="125">
        <f t="shared" si="34"/>
        <v>52224.44</v>
      </c>
      <c r="F122" s="126">
        <v>52224.44</v>
      </c>
      <c r="G122" s="126">
        <v>0</v>
      </c>
      <c r="H122" s="126">
        <v>52224.44</v>
      </c>
      <c r="I122" s="126">
        <v>0</v>
      </c>
      <c r="J122" s="126">
        <v>0</v>
      </c>
      <c r="K122" s="126">
        <v>0</v>
      </c>
      <c r="L122" s="126">
        <v>0</v>
      </c>
      <c r="M122" s="126">
        <v>0</v>
      </c>
      <c r="N122" s="127">
        <f t="shared" si="35"/>
        <v>0</v>
      </c>
      <c r="O122" s="126">
        <v>0</v>
      </c>
      <c r="P122" s="128">
        <v>0</v>
      </c>
      <c r="Q122" s="126">
        <v>0</v>
      </c>
    </row>
    <row r="123" spans="1:17" s="121" customFormat="1" ht="13.5" customHeight="1">
      <c r="A123" s="129"/>
      <c r="B123" s="129" t="s">
        <v>583</v>
      </c>
      <c r="C123" s="133" t="s">
        <v>117</v>
      </c>
      <c r="D123" s="125">
        <f t="shared" si="33"/>
        <v>7740</v>
      </c>
      <c r="E123" s="125">
        <f t="shared" si="34"/>
        <v>7740</v>
      </c>
      <c r="F123" s="126">
        <v>7740</v>
      </c>
      <c r="G123" s="126">
        <v>0</v>
      </c>
      <c r="H123" s="126">
        <v>7740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  <c r="N123" s="127">
        <f t="shared" si="35"/>
        <v>0</v>
      </c>
      <c r="O123" s="126">
        <v>0</v>
      </c>
      <c r="P123" s="128">
        <v>0</v>
      </c>
      <c r="Q123" s="126">
        <v>0</v>
      </c>
    </row>
    <row r="124" spans="1:17" s="121" customFormat="1" ht="13.5" customHeight="1">
      <c r="A124" s="129"/>
      <c r="B124" s="129"/>
      <c r="C124" s="134">
        <f>D124/D123</f>
        <v>0.4211860465116279</v>
      </c>
      <c r="D124" s="125">
        <f t="shared" si="33"/>
        <v>3259.98</v>
      </c>
      <c r="E124" s="125">
        <f t="shared" si="34"/>
        <v>3259.98</v>
      </c>
      <c r="F124" s="126">
        <f>G124+H124</f>
        <v>3259.98</v>
      </c>
      <c r="G124" s="126">
        <v>0</v>
      </c>
      <c r="H124" s="126">
        <v>3259.98</v>
      </c>
      <c r="I124" s="126">
        <v>0</v>
      </c>
      <c r="J124" s="126">
        <v>0</v>
      </c>
      <c r="K124" s="126">
        <v>0</v>
      </c>
      <c r="L124" s="126">
        <v>0</v>
      </c>
      <c r="M124" s="126">
        <v>0</v>
      </c>
      <c r="N124" s="127">
        <f t="shared" si="35"/>
        <v>0</v>
      </c>
      <c r="O124" s="126">
        <v>0</v>
      </c>
      <c r="P124" s="128">
        <v>0</v>
      </c>
      <c r="Q124" s="126">
        <v>0</v>
      </c>
    </row>
    <row r="125" spans="1:17" s="121" customFormat="1" ht="13.5" customHeight="1">
      <c r="A125" s="129"/>
      <c r="B125" s="129" t="s">
        <v>584</v>
      </c>
      <c r="C125" s="133" t="s">
        <v>61</v>
      </c>
      <c r="D125" s="125">
        <f t="shared" si="33"/>
        <v>76146.12</v>
      </c>
      <c r="E125" s="125">
        <f t="shared" si="34"/>
        <v>76146.12</v>
      </c>
      <c r="F125" s="126">
        <v>76146.12</v>
      </c>
      <c r="G125" s="126">
        <v>8656</v>
      </c>
      <c r="H125" s="126">
        <v>67490.12</v>
      </c>
      <c r="I125" s="126">
        <v>0</v>
      </c>
      <c r="J125" s="126">
        <v>0</v>
      </c>
      <c r="K125" s="126">
        <v>0</v>
      </c>
      <c r="L125" s="126">
        <v>0</v>
      </c>
      <c r="M125" s="126">
        <v>0</v>
      </c>
      <c r="N125" s="127">
        <f t="shared" si="35"/>
        <v>0</v>
      </c>
      <c r="O125" s="126">
        <v>0</v>
      </c>
      <c r="P125" s="128">
        <v>0</v>
      </c>
      <c r="Q125" s="126">
        <v>0</v>
      </c>
    </row>
    <row r="126" spans="1:17" s="121" customFormat="1" ht="13.5" customHeight="1">
      <c r="A126" s="129"/>
      <c r="B126" s="129"/>
      <c r="C126" s="134">
        <f>D126/D125</f>
        <v>0.2186945309885783</v>
      </c>
      <c r="D126" s="125">
        <f t="shared" si="33"/>
        <v>16652.74</v>
      </c>
      <c r="E126" s="125">
        <f t="shared" si="34"/>
        <v>16652.74</v>
      </c>
      <c r="F126" s="126">
        <f>G126+H126</f>
        <v>16652.74</v>
      </c>
      <c r="G126" s="126">
        <f>222.64+30.12+3603.26</f>
        <v>3856.0200000000004</v>
      </c>
      <c r="H126" s="126">
        <f>16652.74-G126</f>
        <v>12796.720000000001</v>
      </c>
      <c r="I126" s="126">
        <v>0</v>
      </c>
      <c r="J126" s="126">
        <v>0</v>
      </c>
      <c r="K126" s="126">
        <v>0</v>
      </c>
      <c r="L126" s="126">
        <v>0</v>
      </c>
      <c r="M126" s="126">
        <v>0</v>
      </c>
      <c r="N126" s="127">
        <f t="shared" si="35"/>
        <v>0</v>
      </c>
      <c r="O126" s="126">
        <v>0</v>
      </c>
      <c r="P126" s="128">
        <v>0</v>
      </c>
      <c r="Q126" s="126">
        <v>0</v>
      </c>
    </row>
    <row r="127" spans="1:17" s="120" customFormat="1" ht="13.5" customHeight="1">
      <c r="A127" s="130" t="s">
        <v>95</v>
      </c>
      <c r="B127" s="130"/>
      <c r="C127" s="131" t="s">
        <v>96</v>
      </c>
      <c r="D127" s="124">
        <f>D129+D133+D131+D135+D137+D139+D141+D143+D145</f>
        <v>2870880</v>
      </c>
      <c r="E127" s="124">
        <f>E129+E133+E131+E135+E137+E139+E141+E143+E145</f>
        <v>2870880</v>
      </c>
      <c r="F127" s="123">
        <f aca="true" t="shared" si="36" ref="F127:Q128">F129+F133+F131+F135+F137+F139+F141+F143+F145</f>
        <v>650350</v>
      </c>
      <c r="G127" s="123">
        <f t="shared" si="36"/>
        <v>446454</v>
      </c>
      <c r="H127" s="123">
        <f t="shared" si="36"/>
        <v>203896</v>
      </c>
      <c r="I127" s="123">
        <f t="shared" si="36"/>
        <v>3750</v>
      </c>
      <c r="J127" s="123">
        <f t="shared" si="36"/>
        <v>2216780</v>
      </c>
      <c r="K127" s="123">
        <f t="shared" si="36"/>
        <v>0</v>
      </c>
      <c r="L127" s="123">
        <f t="shared" si="36"/>
        <v>0</v>
      </c>
      <c r="M127" s="123">
        <f t="shared" si="36"/>
        <v>0</v>
      </c>
      <c r="N127" s="123">
        <f t="shared" si="36"/>
        <v>0</v>
      </c>
      <c r="O127" s="123">
        <f t="shared" si="36"/>
        <v>0</v>
      </c>
      <c r="P127" s="123">
        <f t="shared" si="36"/>
        <v>0</v>
      </c>
      <c r="Q127" s="123">
        <f t="shared" si="36"/>
        <v>0</v>
      </c>
    </row>
    <row r="128" spans="1:17" s="120" customFormat="1" ht="13.5" customHeight="1">
      <c r="A128" s="130"/>
      <c r="B128" s="130"/>
      <c r="C128" s="132">
        <f>D128/D127</f>
        <v>0.49292442735328545</v>
      </c>
      <c r="D128" s="124">
        <f>D130+D134+D132+D136+D138+D140+D142+D144+D146</f>
        <v>1415126.8800000001</v>
      </c>
      <c r="E128" s="124">
        <f>E130+E134+E132+E136+E138+E140+E142+E144+E146</f>
        <v>1415126.8800000001</v>
      </c>
      <c r="F128" s="123">
        <f t="shared" si="36"/>
        <v>310895.77999999997</v>
      </c>
      <c r="G128" s="123">
        <f t="shared" si="36"/>
        <v>205460.33999999997</v>
      </c>
      <c r="H128" s="123">
        <f t="shared" si="36"/>
        <v>105435.44</v>
      </c>
      <c r="I128" s="123">
        <f t="shared" si="36"/>
        <v>3750</v>
      </c>
      <c r="J128" s="123">
        <f t="shared" si="36"/>
        <v>1100481.1</v>
      </c>
      <c r="K128" s="123">
        <f t="shared" si="36"/>
        <v>0</v>
      </c>
      <c r="L128" s="123">
        <f t="shared" si="36"/>
        <v>0</v>
      </c>
      <c r="M128" s="123">
        <f t="shared" si="36"/>
        <v>0</v>
      </c>
      <c r="N128" s="123">
        <f t="shared" si="36"/>
        <v>0</v>
      </c>
      <c r="O128" s="123">
        <f t="shared" si="36"/>
        <v>0</v>
      </c>
      <c r="P128" s="123">
        <f t="shared" si="36"/>
        <v>0</v>
      </c>
      <c r="Q128" s="123">
        <f t="shared" si="36"/>
        <v>0</v>
      </c>
    </row>
    <row r="129" spans="1:17" s="121" customFormat="1" ht="13.5" customHeight="1">
      <c r="A129" s="129"/>
      <c r="B129" s="129" t="s">
        <v>207</v>
      </c>
      <c r="C129" s="133" t="s">
        <v>109</v>
      </c>
      <c r="D129" s="125">
        <f>E129+N129</f>
        <v>50000</v>
      </c>
      <c r="E129" s="125">
        <f>F129+I129+J129+K129+L129+M129</f>
        <v>50000</v>
      </c>
      <c r="F129" s="126">
        <v>46250</v>
      </c>
      <c r="G129" s="126">
        <v>0</v>
      </c>
      <c r="H129" s="126">
        <v>46250</v>
      </c>
      <c r="I129" s="126">
        <v>3750</v>
      </c>
      <c r="J129" s="126">
        <v>0</v>
      </c>
      <c r="K129" s="126">
        <v>0</v>
      </c>
      <c r="L129" s="126">
        <v>0</v>
      </c>
      <c r="M129" s="126">
        <v>0</v>
      </c>
      <c r="N129" s="127">
        <f>O129+Q129</f>
        <v>0</v>
      </c>
      <c r="O129" s="126">
        <v>0</v>
      </c>
      <c r="P129" s="128">
        <v>0</v>
      </c>
      <c r="Q129" s="126">
        <v>0</v>
      </c>
    </row>
    <row r="130" spans="1:17" s="121" customFormat="1" ht="13.5" customHeight="1">
      <c r="A130" s="129"/>
      <c r="B130" s="129"/>
      <c r="C130" s="134">
        <f>D130/D129</f>
        <v>0.34577779999999997</v>
      </c>
      <c r="D130" s="125">
        <f>E130+N130</f>
        <v>17288.89</v>
      </c>
      <c r="E130" s="125">
        <f>F130+I130+J130+K130+L130+M130</f>
        <v>17288.89</v>
      </c>
      <c r="F130" s="126">
        <v>13538.89</v>
      </c>
      <c r="G130" s="126">
        <v>0</v>
      </c>
      <c r="H130" s="126">
        <v>13538.89</v>
      </c>
      <c r="I130" s="126">
        <v>3750</v>
      </c>
      <c r="J130" s="126">
        <v>0</v>
      </c>
      <c r="K130" s="126">
        <v>0</v>
      </c>
      <c r="L130" s="126">
        <v>0</v>
      </c>
      <c r="M130" s="126">
        <v>0</v>
      </c>
      <c r="N130" s="127">
        <f>O130+Q130</f>
        <v>0</v>
      </c>
      <c r="O130" s="126">
        <v>0</v>
      </c>
      <c r="P130" s="128">
        <v>0</v>
      </c>
      <c r="Q130" s="126">
        <v>0</v>
      </c>
    </row>
    <row r="131" spans="1:17" s="121" customFormat="1" ht="40.5" customHeight="1">
      <c r="A131" s="129"/>
      <c r="B131" s="129" t="s">
        <v>179</v>
      </c>
      <c r="C131" s="133" t="s">
        <v>274</v>
      </c>
      <c r="D131" s="125">
        <f aca="true" t="shared" si="37" ref="D131:D143">E131+N131</f>
        <v>1824000</v>
      </c>
      <c r="E131" s="125">
        <f aca="true" t="shared" si="38" ref="E131:E143">F131+I131+J131+K131+L131+M131</f>
        <v>1824000</v>
      </c>
      <c r="F131" s="126">
        <v>89720</v>
      </c>
      <c r="G131" s="126">
        <v>81764</v>
      </c>
      <c r="H131" s="126">
        <v>7956</v>
      </c>
      <c r="I131" s="126">
        <v>0</v>
      </c>
      <c r="J131" s="126">
        <v>1734280</v>
      </c>
      <c r="K131" s="126">
        <v>0</v>
      </c>
      <c r="L131" s="126">
        <v>0</v>
      </c>
      <c r="M131" s="126">
        <v>0</v>
      </c>
      <c r="N131" s="127">
        <f aca="true" t="shared" si="39" ref="N131:N146">O131+Q131</f>
        <v>0</v>
      </c>
      <c r="O131" s="126">
        <v>0</v>
      </c>
      <c r="P131" s="128">
        <v>0</v>
      </c>
      <c r="Q131" s="126">
        <v>0</v>
      </c>
    </row>
    <row r="132" spans="1:17" s="121" customFormat="1" ht="13.5" customHeight="1">
      <c r="A132" s="129"/>
      <c r="B132" s="129"/>
      <c r="C132" s="134">
        <f>D132/D131</f>
        <v>0.5061858114035088</v>
      </c>
      <c r="D132" s="125">
        <f>E132+N132</f>
        <v>923282.92</v>
      </c>
      <c r="E132" s="125">
        <f>F132+I132+J132+K132+L132+M132</f>
        <v>923282.92</v>
      </c>
      <c r="F132" s="126">
        <f>G132+H132</f>
        <v>45044.37000000001</v>
      </c>
      <c r="G132" s="126">
        <f>16323.39+2400.52+21129.35+458.72</f>
        <v>40311.979999999996</v>
      </c>
      <c r="H132" s="126">
        <f>923282.92-G132-J132</f>
        <v>4732.390000000014</v>
      </c>
      <c r="I132" s="126">
        <v>0</v>
      </c>
      <c r="J132" s="126">
        <v>878238.55</v>
      </c>
      <c r="K132" s="126">
        <v>0</v>
      </c>
      <c r="L132" s="126">
        <v>0</v>
      </c>
      <c r="M132" s="126">
        <v>0</v>
      </c>
      <c r="N132" s="127">
        <f t="shared" si="39"/>
        <v>0</v>
      </c>
      <c r="O132" s="126">
        <v>0</v>
      </c>
      <c r="P132" s="128">
        <v>0</v>
      </c>
      <c r="Q132" s="126">
        <v>0</v>
      </c>
    </row>
    <row r="133" spans="1:17" s="121" customFormat="1" ht="40.5" customHeight="1">
      <c r="A133" s="129"/>
      <c r="B133" s="129" t="s">
        <v>181</v>
      </c>
      <c r="C133" s="133" t="s">
        <v>585</v>
      </c>
      <c r="D133" s="125">
        <f t="shared" si="37"/>
        <v>35200</v>
      </c>
      <c r="E133" s="125">
        <f t="shared" si="38"/>
        <v>35200</v>
      </c>
      <c r="F133" s="126">
        <v>35200</v>
      </c>
      <c r="G133" s="126">
        <v>35200</v>
      </c>
      <c r="H133" s="126">
        <v>0</v>
      </c>
      <c r="I133" s="126">
        <v>0</v>
      </c>
      <c r="J133" s="126">
        <v>0</v>
      </c>
      <c r="K133" s="126">
        <v>0</v>
      </c>
      <c r="L133" s="126">
        <v>0</v>
      </c>
      <c r="M133" s="126">
        <v>0</v>
      </c>
      <c r="N133" s="127">
        <f t="shared" si="39"/>
        <v>0</v>
      </c>
      <c r="O133" s="126">
        <v>0</v>
      </c>
      <c r="P133" s="128">
        <v>0</v>
      </c>
      <c r="Q133" s="126">
        <v>0</v>
      </c>
    </row>
    <row r="134" spans="1:17" s="121" customFormat="1" ht="13.5" customHeight="1">
      <c r="A134" s="129"/>
      <c r="B134" s="129"/>
      <c r="C134" s="134">
        <f>D134/D133</f>
        <v>0.42856875</v>
      </c>
      <c r="D134" s="125">
        <f>E134+N134</f>
        <v>15085.62</v>
      </c>
      <c r="E134" s="125">
        <f>F134+I134+J134+K134+L134+M134</f>
        <v>15085.62</v>
      </c>
      <c r="F134" s="126">
        <f>G134+H134</f>
        <v>15085.62</v>
      </c>
      <c r="G134" s="126">
        <v>15085.62</v>
      </c>
      <c r="H134" s="126">
        <v>0</v>
      </c>
      <c r="I134" s="126">
        <v>0</v>
      </c>
      <c r="J134" s="126">
        <v>0</v>
      </c>
      <c r="K134" s="126">
        <v>0</v>
      </c>
      <c r="L134" s="126">
        <v>0</v>
      </c>
      <c r="M134" s="126">
        <v>0</v>
      </c>
      <c r="N134" s="127">
        <f t="shared" si="39"/>
        <v>0</v>
      </c>
      <c r="O134" s="126">
        <v>0</v>
      </c>
      <c r="P134" s="128">
        <v>0</v>
      </c>
      <c r="Q134" s="126">
        <v>0</v>
      </c>
    </row>
    <row r="135" spans="1:17" s="121" customFormat="1" ht="27" customHeight="1">
      <c r="A135" s="129"/>
      <c r="B135" s="129" t="s">
        <v>248</v>
      </c>
      <c r="C135" s="133" t="s">
        <v>110</v>
      </c>
      <c r="D135" s="125">
        <f t="shared" si="37"/>
        <v>153000</v>
      </c>
      <c r="E135" s="125">
        <f t="shared" si="38"/>
        <v>153000</v>
      </c>
      <c r="F135" s="126">
        <v>0</v>
      </c>
      <c r="G135" s="126">
        <v>0</v>
      </c>
      <c r="H135" s="126">
        <v>0</v>
      </c>
      <c r="I135" s="126">
        <v>0</v>
      </c>
      <c r="J135" s="126">
        <v>153000</v>
      </c>
      <c r="K135" s="126">
        <v>0</v>
      </c>
      <c r="L135" s="126">
        <v>0</v>
      </c>
      <c r="M135" s="126">
        <v>0</v>
      </c>
      <c r="N135" s="127">
        <f t="shared" si="39"/>
        <v>0</v>
      </c>
      <c r="O135" s="126">
        <v>0</v>
      </c>
      <c r="P135" s="128">
        <v>0</v>
      </c>
      <c r="Q135" s="126">
        <v>0</v>
      </c>
    </row>
    <row r="136" spans="1:17" s="121" customFormat="1" ht="13.5" customHeight="1">
      <c r="A136" s="129"/>
      <c r="B136" s="129"/>
      <c r="C136" s="134">
        <f>D136/D135</f>
        <v>0.42494281045751636</v>
      </c>
      <c r="D136" s="125">
        <f>E136+N136</f>
        <v>65016.25</v>
      </c>
      <c r="E136" s="125">
        <f>F136+I136+J136+K136+L136+M136</f>
        <v>65016.25</v>
      </c>
      <c r="F136" s="126">
        <v>0</v>
      </c>
      <c r="G136" s="126">
        <v>0</v>
      </c>
      <c r="H136" s="126">
        <v>0</v>
      </c>
      <c r="I136" s="126">
        <v>0</v>
      </c>
      <c r="J136" s="126">
        <v>65016.25</v>
      </c>
      <c r="K136" s="126">
        <v>0</v>
      </c>
      <c r="L136" s="126">
        <v>0</v>
      </c>
      <c r="M136" s="126">
        <v>0</v>
      </c>
      <c r="N136" s="127">
        <f t="shared" si="39"/>
        <v>0</v>
      </c>
      <c r="O136" s="126">
        <v>0</v>
      </c>
      <c r="P136" s="128">
        <v>0</v>
      </c>
      <c r="Q136" s="126">
        <v>0</v>
      </c>
    </row>
    <row r="137" spans="1:17" s="121" customFormat="1" ht="13.5" customHeight="1">
      <c r="A137" s="129"/>
      <c r="B137" s="129" t="s">
        <v>586</v>
      </c>
      <c r="C137" s="133" t="s">
        <v>62</v>
      </c>
      <c r="D137" s="125">
        <f t="shared" si="37"/>
        <v>50000</v>
      </c>
      <c r="E137" s="125">
        <f t="shared" si="38"/>
        <v>50000</v>
      </c>
      <c r="F137" s="126">
        <v>0</v>
      </c>
      <c r="G137" s="126">
        <v>0</v>
      </c>
      <c r="H137" s="126">
        <v>0</v>
      </c>
      <c r="I137" s="126">
        <v>0</v>
      </c>
      <c r="J137" s="126">
        <v>50000</v>
      </c>
      <c r="K137" s="126">
        <v>0</v>
      </c>
      <c r="L137" s="126">
        <v>0</v>
      </c>
      <c r="M137" s="126">
        <v>0</v>
      </c>
      <c r="N137" s="127">
        <f t="shared" si="39"/>
        <v>0</v>
      </c>
      <c r="O137" s="126">
        <v>0</v>
      </c>
      <c r="P137" s="128">
        <v>0</v>
      </c>
      <c r="Q137" s="126">
        <v>0</v>
      </c>
    </row>
    <row r="138" spans="1:17" s="121" customFormat="1" ht="13.5" customHeight="1">
      <c r="A138" s="129"/>
      <c r="B138" s="129"/>
      <c r="C138" s="134">
        <f>D138/D137</f>
        <v>0.3861412</v>
      </c>
      <c r="D138" s="125">
        <f>E138+N138</f>
        <v>19307.06</v>
      </c>
      <c r="E138" s="125">
        <f>F138+I138+J138+K138+L138+M138</f>
        <v>19307.06</v>
      </c>
      <c r="F138" s="126">
        <v>0</v>
      </c>
      <c r="G138" s="126">
        <v>0</v>
      </c>
      <c r="H138" s="126">
        <v>0</v>
      </c>
      <c r="I138" s="126">
        <v>0</v>
      </c>
      <c r="J138" s="126">
        <v>19307.06</v>
      </c>
      <c r="K138" s="126">
        <v>0</v>
      </c>
      <c r="L138" s="126">
        <v>0</v>
      </c>
      <c r="M138" s="126">
        <v>0</v>
      </c>
      <c r="N138" s="127">
        <f t="shared" si="39"/>
        <v>0</v>
      </c>
      <c r="O138" s="126">
        <v>0</v>
      </c>
      <c r="P138" s="128">
        <v>0</v>
      </c>
      <c r="Q138" s="126">
        <v>0</v>
      </c>
    </row>
    <row r="139" spans="1:17" s="121" customFormat="1" ht="13.5" customHeight="1">
      <c r="A139" s="129"/>
      <c r="B139" s="129" t="s">
        <v>263</v>
      </c>
      <c r="C139" s="133" t="s">
        <v>249</v>
      </c>
      <c r="D139" s="125">
        <f t="shared" si="37"/>
        <v>236000</v>
      </c>
      <c r="E139" s="125">
        <f t="shared" si="38"/>
        <v>236000</v>
      </c>
      <c r="F139" s="126">
        <v>0</v>
      </c>
      <c r="G139" s="126">
        <v>0</v>
      </c>
      <c r="H139" s="126">
        <v>0</v>
      </c>
      <c r="I139" s="126">
        <v>0</v>
      </c>
      <c r="J139" s="126">
        <v>236000</v>
      </c>
      <c r="K139" s="126">
        <v>0</v>
      </c>
      <c r="L139" s="126">
        <v>0</v>
      </c>
      <c r="M139" s="126">
        <v>0</v>
      </c>
      <c r="N139" s="127">
        <f t="shared" si="39"/>
        <v>0</v>
      </c>
      <c r="O139" s="126">
        <v>0</v>
      </c>
      <c r="P139" s="128">
        <v>0</v>
      </c>
      <c r="Q139" s="126">
        <v>0</v>
      </c>
    </row>
    <row r="140" spans="1:17" s="121" customFormat="1" ht="13.5" customHeight="1">
      <c r="A140" s="129"/>
      <c r="B140" s="129"/>
      <c r="C140" s="134">
        <f>D140/D139</f>
        <v>0.504861186440678</v>
      </c>
      <c r="D140" s="125">
        <f>E140+N140</f>
        <v>119147.24</v>
      </c>
      <c r="E140" s="125">
        <f>F140+I140+J140+K140+L140+M140</f>
        <v>119147.24</v>
      </c>
      <c r="F140" s="126">
        <v>0</v>
      </c>
      <c r="G140" s="126">
        <v>0</v>
      </c>
      <c r="H140" s="126">
        <v>0</v>
      </c>
      <c r="I140" s="126">
        <v>0</v>
      </c>
      <c r="J140" s="126">
        <v>119147.24</v>
      </c>
      <c r="K140" s="126">
        <v>0</v>
      </c>
      <c r="L140" s="126">
        <v>0</v>
      </c>
      <c r="M140" s="126">
        <v>0</v>
      </c>
      <c r="N140" s="127">
        <f t="shared" si="39"/>
        <v>0</v>
      </c>
      <c r="O140" s="126">
        <v>0</v>
      </c>
      <c r="P140" s="128">
        <v>0</v>
      </c>
      <c r="Q140" s="126">
        <v>0</v>
      </c>
    </row>
    <row r="141" spans="1:17" s="121" customFormat="1" ht="13.5" customHeight="1">
      <c r="A141" s="129"/>
      <c r="B141" s="129" t="s">
        <v>94</v>
      </c>
      <c r="C141" s="133" t="s">
        <v>39</v>
      </c>
      <c r="D141" s="125">
        <f t="shared" si="37"/>
        <v>263699</v>
      </c>
      <c r="E141" s="125">
        <f t="shared" si="38"/>
        <v>263699</v>
      </c>
      <c r="F141" s="126">
        <v>261699</v>
      </c>
      <c r="G141" s="126">
        <v>221519</v>
      </c>
      <c r="H141" s="126">
        <v>40180</v>
      </c>
      <c r="I141" s="126">
        <v>0</v>
      </c>
      <c r="J141" s="126">
        <v>2000</v>
      </c>
      <c r="K141" s="126">
        <v>0</v>
      </c>
      <c r="L141" s="126">
        <v>0</v>
      </c>
      <c r="M141" s="126">
        <v>0</v>
      </c>
      <c r="N141" s="127">
        <f t="shared" si="39"/>
        <v>0</v>
      </c>
      <c r="O141" s="126">
        <v>0</v>
      </c>
      <c r="P141" s="128">
        <v>0</v>
      </c>
      <c r="Q141" s="126">
        <v>0</v>
      </c>
    </row>
    <row r="142" spans="1:17" s="121" customFormat="1" ht="13.5" customHeight="1">
      <c r="A142" s="129"/>
      <c r="B142" s="129"/>
      <c r="C142" s="134">
        <f>D142/D141</f>
        <v>0.45886643483668876</v>
      </c>
      <c r="D142" s="125">
        <f>E142+N142</f>
        <v>121002.62</v>
      </c>
      <c r="E142" s="125">
        <f>F142+I142+J142+K142+L142+M142</f>
        <v>121002.62</v>
      </c>
      <c r="F142" s="126">
        <f>G142+H142</f>
        <v>121002.62</v>
      </c>
      <c r="G142" s="126">
        <f>78889.28+10518.58+14232.03+2188.84</f>
        <v>105828.73</v>
      </c>
      <c r="H142" s="126">
        <f>121002.62-G142</f>
        <v>15173.89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  <c r="N142" s="127">
        <f t="shared" si="39"/>
        <v>0</v>
      </c>
      <c r="O142" s="126">
        <v>0</v>
      </c>
      <c r="P142" s="128">
        <v>0</v>
      </c>
      <c r="Q142" s="126">
        <v>0</v>
      </c>
    </row>
    <row r="143" spans="1:17" s="121" customFormat="1" ht="13.5" customHeight="1">
      <c r="A143" s="129"/>
      <c r="B143" s="129" t="s">
        <v>587</v>
      </c>
      <c r="C143" s="133" t="s">
        <v>28</v>
      </c>
      <c r="D143" s="125">
        <f t="shared" si="37"/>
        <v>114551</v>
      </c>
      <c r="E143" s="125">
        <f t="shared" si="38"/>
        <v>114551</v>
      </c>
      <c r="F143" s="126">
        <v>113051</v>
      </c>
      <c r="G143" s="126">
        <v>107971</v>
      </c>
      <c r="H143" s="126">
        <v>5080</v>
      </c>
      <c r="I143" s="126">
        <v>0</v>
      </c>
      <c r="J143" s="126">
        <v>1500</v>
      </c>
      <c r="K143" s="126">
        <v>0</v>
      </c>
      <c r="L143" s="126">
        <v>0</v>
      </c>
      <c r="M143" s="126">
        <v>0</v>
      </c>
      <c r="N143" s="127">
        <f t="shared" si="39"/>
        <v>0</v>
      </c>
      <c r="O143" s="126">
        <v>0</v>
      </c>
      <c r="P143" s="128">
        <v>0</v>
      </c>
      <c r="Q143" s="126">
        <v>0</v>
      </c>
    </row>
    <row r="144" spans="1:17" s="121" customFormat="1" ht="13.5" customHeight="1">
      <c r="A144" s="129"/>
      <c r="B144" s="129"/>
      <c r="C144" s="134">
        <f>D144/D143</f>
        <v>0.42006198112631055</v>
      </c>
      <c r="D144" s="125">
        <f>E144+N144</f>
        <v>48118.52</v>
      </c>
      <c r="E144" s="125">
        <f>F144+I144+J144+K144+L144+M144</f>
        <v>48118.52</v>
      </c>
      <c r="F144" s="126">
        <f>G144+H144</f>
        <v>48118.52</v>
      </c>
      <c r="G144" s="126">
        <f>32437.18+4480.25+5844.99+871.59+600</f>
        <v>44234.009999999995</v>
      </c>
      <c r="H144" s="126">
        <f>48118.52-G144-J144</f>
        <v>3884.510000000002</v>
      </c>
      <c r="I144" s="126">
        <v>0</v>
      </c>
      <c r="J144" s="126">
        <v>0</v>
      </c>
      <c r="K144" s="126">
        <v>0</v>
      </c>
      <c r="L144" s="126">
        <v>0</v>
      </c>
      <c r="M144" s="126">
        <v>0</v>
      </c>
      <c r="N144" s="127">
        <f t="shared" si="39"/>
        <v>0</v>
      </c>
      <c r="O144" s="126">
        <v>0</v>
      </c>
      <c r="P144" s="128">
        <v>0</v>
      </c>
      <c r="Q144" s="126">
        <v>0</v>
      </c>
    </row>
    <row r="145" spans="1:17" s="121" customFormat="1" ht="13.5" customHeight="1">
      <c r="A145" s="129"/>
      <c r="B145" s="129" t="s">
        <v>135</v>
      </c>
      <c r="C145" s="133" t="s">
        <v>54</v>
      </c>
      <c r="D145" s="125">
        <f>E145+N145</f>
        <v>144430</v>
      </c>
      <c r="E145" s="125">
        <f>F145+I145+J145+K145+L145+M145</f>
        <v>144430</v>
      </c>
      <c r="F145" s="126">
        <v>104430</v>
      </c>
      <c r="G145" s="126">
        <v>0</v>
      </c>
      <c r="H145" s="126">
        <v>104430</v>
      </c>
      <c r="I145" s="126">
        <v>0</v>
      </c>
      <c r="J145" s="126">
        <v>40000</v>
      </c>
      <c r="K145" s="126">
        <v>0</v>
      </c>
      <c r="L145" s="126">
        <v>0</v>
      </c>
      <c r="M145" s="126">
        <v>0</v>
      </c>
      <c r="N145" s="127">
        <f t="shared" si="39"/>
        <v>0</v>
      </c>
      <c r="O145" s="126">
        <v>0</v>
      </c>
      <c r="P145" s="128">
        <v>0</v>
      </c>
      <c r="Q145" s="126">
        <v>0</v>
      </c>
    </row>
    <row r="146" spans="1:17" s="121" customFormat="1" ht="13.5" customHeight="1">
      <c r="A146" s="129"/>
      <c r="B146" s="129"/>
      <c r="C146" s="134">
        <f>D146/D145</f>
        <v>0.6015215675413695</v>
      </c>
      <c r="D146" s="125">
        <f>E146+N146</f>
        <v>86877.76</v>
      </c>
      <c r="E146" s="125">
        <f>F146+I146+J146+K146+L146+M146</f>
        <v>86877.76</v>
      </c>
      <c r="F146" s="126">
        <f>G146+H146</f>
        <v>68105.76</v>
      </c>
      <c r="G146" s="126">
        <v>0</v>
      </c>
      <c r="H146" s="126">
        <v>68105.76</v>
      </c>
      <c r="I146" s="126">
        <v>0</v>
      </c>
      <c r="J146" s="126">
        <v>18772</v>
      </c>
      <c r="K146" s="126">
        <v>0</v>
      </c>
      <c r="L146" s="126">
        <v>0</v>
      </c>
      <c r="M146" s="126">
        <v>0</v>
      </c>
      <c r="N146" s="127">
        <f t="shared" si="39"/>
        <v>0</v>
      </c>
      <c r="O146" s="126">
        <v>0</v>
      </c>
      <c r="P146" s="128">
        <v>0</v>
      </c>
      <c r="Q146" s="126">
        <v>0</v>
      </c>
    </row>
    <row r="147" spans="1:17" s="120" customFormat="1" ht="13.5" customHeight="1">
      <c r="A147" s="130" t="s">
        <v>362</v>
      </c>
      <c r="B147" s="130"/>
      <c r="C147" s="131" t="s">
        <v>137</v>
      </c>
      <c r="D147" s="124">
        <f aca="true" t="shared" si="40" ref="D147:M148">D149</f>
        <v>309888</v>
      </c>
      <c r="E147" s="124">
        <f t="shared" si="40"/>
        <v>309888</v>
      </c>
      <c r="F147" s="123">
        <f t="shared" si="40"/>
        <v>0</v>
      </c>
      <c r="G147" s="123">
        <f t="shared" si="40"/>
        <v>0</v>
      </c>
      <c r="H147" s="123">
        <f t="shared" si="40"/>
        <v>0</v>
      </c>
      <c r="I147" s="123">
        <f t="shared" si="40"/>
        <v>0</v>
      </c>
      <c r="J147" s="123">
        <f t="shared" si="40"/>
        <v>0</v>
      </c>
      <c r="K147" s="123">
        <f t="shared" si="40"/>
        <v>309888</v>
      </c>
      <c r="L147" s="123">
        <f t="shared" si="40"/>
        <v>0</v>
      </c>
      <c r="M147" s="123">
        <f t="shared" si="40"/>
        <v>0</v>
      </c>
      <c r="N147" s="123">
        <f>N149</f>
        <v>0</v>
      </c>
      <c r="O147" s="123">
        <f aca="true" t="shared" si="41" ref="O147:Q148">O149</f>
        <v>0</v>
      </c>
      <c r="P147" s="123">
        <f t="shared" si="41"/>
        <v>0</v>
      </c>
      <c r="Q147" s="123">
        <f t="shared" si="41"/>
        <v>0</v>
      </c>
    </row>
    <row r="148" spans="1:17" s="120" customFormat="1" ht="13.5" customHeight="1">
      <c r="A148" s="130"/>
      <c r="B148" s="130"/>
      <c r="C148" s="132">
        <f>D148/D147</f>
        <v>0.583075111007848</v>
      </c>
      <c r="D148" s="124">
        <f t="shared" si="40"/>
        <v>180687.98</v>
      </c>
      <c r="E148" s="124">
        <f t="shared" si="40"/>
        <v>180687.98</v>
      </c>
      <c r="F148" s="123">
        <f t="shared" si="40"/>
        <v>0</v>
      </c>
      <c r="G148" s="123">
        <f t="shared" si="40"/>
        <v>0</v>
      </c>
      <c r="H148" s="123">
        <f t="shared" si="40"/>
        <v>0</v>
      </c>
      <c r="I148" s="123">
        <f t="shared" si="40"/>
        <v>0</v>
      </c>
      <c r="J148" s="123">
        <f t="shared" si="40"/>
        <v>0</v>
      </c>
      <c r="K148" s="123">
        <f t="shared" si="40"/>
        <v>180687.98</v>
      </c>
      <c r="L148" s="123">
        <f t="shared" si="40"/>
        <v>0</v>
      </c>
      <c r="M148" s="123">
        <f t="shared" si="40"/>
        <v>0</v>
      </c>
      <c r="N148" s="123">
        <f>N150</f>
        <v>0</v>
      </c>
      <c r="O148" s="123">
        <f t="shared" si="41"/>
        <v>0</v>
      </c>
      <c r="P148" s="123">
        <f t="shared" si="41"/>
        <v>0</v>
      </c>
      <c r="Q148" s="123">
        <f t="shared" si="41"/>
        <v>0</v>
      </c>
    </row>
    <row r="149" spans="1:17" s="121" customFormat="1" ht="13.5" customHeight="1">
      <c r="A149" s="129"/>
      <c r="B149" s="129" t="s">
        <v>5</v>
      </c>
      <c r="C149" s="133" t="s">
        <v>54</v>
      </c>
      <c r="D149" s="125">
        <f>E149+N149</f>
        <v>309888</v>
      </c>
      <c r="E149" s="125">
        <f>F149+I149+J149+K149+L149+M149</f>
        <v>309888</v>
      </c>
      <c r="F149" s="126">
        <v>0</v>
      </c>
      <c r="G149" s="126">
        <v>0</v>
      </c>
      <c r="H149" s="126">
        <v>0</v>
      </c>
      <c r="I149" s="126">
        <v>0</v>
      </c>
      <c r="J149" s="126">
        <v>0</v>
      </c>
      <c r="K149" s="126">
        <v>309888</v>
      </c>
      <c r="L149" s="126">
        <v>0</v>
      </c>
      <c r="M149" s="126">
        <v>0</v>
      </c>
      <c r="N149" s="127">
        <f>O149+Q149</f>
        <v>0</v>
      </c>
      <c r="O149" s="126">
        <v>0</v>
      </c>
      <c r="P149" s="128">
        <v>0</v>
      </c>
      <c r="Q149" s="126">
        <v>0</v>
      </c>
    </row>
    <row r="150" spans="1:17" s="121" customFormat="1" ht="13.5" customHeight="1">
      <c r="A150" s="129"/>
      <c r="B150" s="129"/>
      <c r="C150" s="134">
        <f>D150/D149</f>
        <v>0.583075111007848</v>
      </c>
      <c r="D150" s="125">
        <f>E150+N150</f>
        <v>180687.98</v>
      </c>
      <c r="E150" s="125">
        <f>F150+I150+J150+K150+L150+M150</f>
        <v>180687.98</v>
      </c>
      <c r="F150" s="126">
        <v>0</v>
      </c>
      <c r="G150" s="126">
        <v>0</v>
      </c>
      <c r="H150" s="126">
        <v>0</v>
      </c>
      <c r="I150" s="126">
        <v>0</v>
      </c>
      <c r="J150" s="126">
        <v>0</v>
      </c>
      <c r="K150" s="126">
        <v>180687.98</v>
      </c>
      <c r="L150" s="126">
        <v>0</v>
      </c>
      <c r="M150" s="126">
        <v>0</v>
      </c>
      <c r="N150" s="127">
        <f>O150+Q150</f>
        <v>0</v>
      </c>
      <c r="O150" s="126">
        <v>0</v>
      </c>
      <c r="P150" s="128">
        <v>0</v>
      </c>
      <c r="Q150" s="126">
        <v>0</v>
      </c>
    </row>
    <row r="151" spans="1:17" s="120" customFormat="1" ht="13.5" customHeight="1">
      <c r="A151" s="130" t="s">
        <v>29</v>
      </c>
      <c r="B151" s="130"/>
      <c r="C151" s="131" t="s">
        <v>108</v>
      </c>
      <c r="D151" s="124">
        <f>D153+D155+D157</f>
        <v>228286</v>
      </c>
      <c r="E151" s="124">
        <f aca="true" t="shared" si="42" ref="E151:Q152">E153+E155+E157</f>
        <v>228286</v>
      </c>
      <c r="F151" s="123">
        <f t="shared" si="42"/>
        <v>167560</v>
      </c>
      <c r="G151" s="123">
        <f t="shared" si="42"/>
        <v>84528</v>
      </c>
      <c r="H151" s="123">
        <f t="shared" si="42"/>
        <v>83032</v>
      </c>
      <c r="I151" s="123">
        <f t="shared" si="42"/>
        <v>0</v>
      </c>
      <c r="J151" s="123">
        <f t="shared" si="42"/>
        <v>60726</v>
      </c>
      <c r="K151" s="123">
        <f t="shared" si="42"/>
        <v>0</v>
      </c>
      <c r="L151" s="123">
        <f t="shared" si="42"/>
        <v>0</v>
      </c>
      <c r="M151" s="123">
        <f t="shared" si="42"/>
        <v>0</v>
      </c>
      <c r="N151" s="123">
        <f t="shared" si="42"/>
        <v>0</v>
      </c>
      <c r="O151" s="123">
        <f t="shared" si="42"/>
        <v>0</v>
      </c>
      <c r="P151" s="123">
        <f t="shared" si="42"/>
        <v>0</v>
      </c>
      <c r="Q151" s="123">
        <f t="shared" si="42"/>
        <v>0</v>
      </c>
    </row>
    <row r="152" spans="1:17" s="120" customFormat="1" ht="13.5" customHeight="1">
      <c r="A152" s="130"/>
      <c r="B152" s="130"/>
      <c r="C152" s="132">
        <f>D152/D151</f>
        <v>0.5179610663816441</v>
      </c>
      <c r="D152" s="124">
        <f>D154+D156+D158</f>
        <v>118243.26000000001</v>
      </c>
      <c r="E152" s="124">
        <f t="shared" si="42"/>
        <v>118243.26000000001</v>
      </c>
      <c r="F152" s="123">
        <f t="shared" si="42"/>
        <v>61619.26</v>
      </c>
      <c r="G152" s="123">
        <f t="shared" si="42"/>
        <v>41525.26</v>
      </c>
      <c r="H152" s="123">
        <f t="shared" si="42"/>
        <v>20094</v>
      </c>
      <c r="I152" s="123">
        <f t="shared" si="42"/>
        <v>0</v>
      </c>
      <c r="J152" s="123">
        <f t="shared" si="42"/>
        <v>56624</v>
      </c>
      <c r="K152" s="123">
        <f t="shared" si="42"/>
        <v>0</v>
      </c>
      <c r="L152" s="123">
        <f t="shared" si="42"/>
        <v>0</v>
      </c>
      <c r="M152" s="123">
        <f t="shared" si="42"/>
        <v>0</v>
      </c>
      <c r="N152" s="123">
        <f t="shared" si="42"/>
        <v>0</v>
      </c>
      <c r="O152" s="123">
        <f t="shared" si="42"/>
        <v>0</v>
      </c>
      <c r="P152" s="123">
        <f t="shared" si="42"/>
        <v>0</v>
      </c>
      <c r="Q152" s="123">
        <f t="shared" si="42"/>
        <v>0</v>
      </c>
    </row>
    <row r="153" spans="1:17" s="121" customFormat="1" ht="13.5" customHeight="1">
      <c r="A153" s="129"/>
      <c r="B153" s="129" t="s">
        <v>588</v>
      </c>
      <c r="C153" s="133" t="s">
        <v>30</v>
      </c>
      <c r="D153" s="125">
        <f aca="true" t="shared" si="43" ref="D153:D158">E153+N153</f>
        <v>95618</v>
      </c>
      <c r="E153" s="125">
        <f aca="true" t="shared" si="44" ref="E153:E158">F153+I153+J153+K153+L153+M153</f>
        <v>95618</v>
      </c>
      <c r="F153" s="126">
        <v>89560</v>
      </c>
      <c r="G153" s="126">
        <v>84528</v>
      </c>
      <c r="H153" s="126">
        <v>5032</v>
      </c>
      <c r="I153" s="126">
        <v>0</v>
      </c>
      <c r="J153" s="126">
        <v>6058</v>
      </c>
      <c r="K153" s="126">
        <v>0</v>
      </c>
      <c r="L153" s="126">
        <v>0</v>
      </c>
      <c r="M153" s="126">
        <v>0</v>
      </c>
      <c r="N153" s="127">
        <f aca="true" t="shared" si="45" ref="N153:N158">O153+Q153</f>
        <v>0</v>
      </c>
      <c r="O153" s="126">
        <v>0</v>
      </c>
      <c r="P153" s="128">
        <v>0</v>
      </c>
      <c r="Q153" s="126">
        <v>0</v>
      </c>
    </row>
    <row r="154" spans="1:17" s="121" customFormat="1" ht="13.5" customHeight="1">
      <c r="A154" s="129"/>
      <c r="B154" s="129"/>
      <c r="C154" s="134">
        <f>D154/D153</f>
        <v>0.5033702859294276</v>
      </c>
      <c r="D154" s="125">
        <f t="shared" si="43"/>
        <v>48131.26</v>
      </c>
      <c r="E154" s="125">
        <f t="shared" si="44"/>
        <v>48131.26</v>
      </c>
      <c r="F154" s="126">
        <f>G154+H154</f>
        <v>45299.26</v>
      </c>
      <c r="G154" s="126">
        <f>30222.08+4346.78+6041.01+915.39</f>
        <v>41525.26</v>
      </c>
      <c r="H154" s="126">
        <f>48131.26-G154-J154</f>
        <v>3774</v>
      </c>
      <c r="I154" s="126">
        <v>0</v>
      </c>
      <c r="J154" s="126">
        <v>2832</v>
      </c>
      <c r="K154" s="126">
        <v>0</v>
      </c>
      <c r="L154" s="126">
        <v>0</v>
      </c>
      <c r="M154" s="126">
        <v>0</v>
      </c>
      <c r="N154" s="127">
        <f t="shared" si="45"/>
        <v>0</v>
      </c>
      <c r="O154" s="126">
        <v>0</v>
      </c>
      <c r="P154" s="128">
        <v>0</v>
      </c>
      <c r="Q154" s="126">
        <v>0</v>
      </c>
    </row>
    <row r="155" spans="1:17" s="121" customFormat="1" ht="27" customHeight="1">
      <c r="A155" s="129"/>
      <c r="B155" s="129" t="s">
        <v>589</v>
      </c>
      <c r="C155" s="133" t="s">
        <v>590</v>
      </c>
      <c r="D155" s="125">
        <f t="shared" si="43"/>
        <v>78000</v>
      </c>
      <c r="E155" s="125">
        <f t="shared" si="44"/>
        <v>78000</v>
      </c>
      <c r="F155" s="126">
        <v>78000</v>
      </c>
      <c r="G155" s="126">
        <v>0</v>
      </c>
      <c r="H155" s="126">
        <v>78000</v>
      </c>
      <c r="I155" s="126">
        <v>0</v>
      </c>
      <c r="J155" s="126">
        <v>0</v>
      </c>
      <c r="K155" s="126">
        <v>0</v>
      </c>
      <c r="L155" s="126">
        <v>0</v>
      </c>
      <c r="M155" s="126">
        <v>0</v>
      </c>
      <c r="N155" s="127">
        <f t="shared" si="45"/>
        <v>0</v>
      </c>
      <c r="O155" s="126">
        <v>0</v>
      </c>
      <c r="P155" s="128">
        <v>0</v>
      </c>
      <c r="Q155" s="126">
        <v>0</v>
      </c>
    </row>
    <row r="156" spans="1:17" s="121" customFormat="1" ht="13.5" customHeight="1">
      <c r="A156" s="129"/>
      <c r="B156" s="129"/>
      <c r="C156" s="134">
        <f>D156/D155</f>
        <v>0.20923076923076922</v>
      </c>
      <c r="D156" s="125">
        <f t="shared" si="43"/>
        <v>16320</v>
      </c>
      <c r="E156" s="125">
        <f t="shared" si="44"/>
        <v>16320</v>
      </c>
      <c r="F156" s="126">
        <f>G156+H156</f>
        <v>16320</v>
      </c>
      <c r="G156" s="126">
        <v>0</v>
      </c>
      <c r="H156" s="126">
        <v>16320</v>
      </c>
      <c r="I156" s="126">
        <v>0</v>
      </c>
      <c r="J156" s="126">
        <v>0</v>
      </c>
      <c r="K156" s="126">
        <v>0</v>
      </c>
      <c r="L156" s="126">
        <v>0</v>
      </c>
      <c r="M156" s="126">
        <v>0</v>
      </c>
      <c r="N156" s="127">
        <f t="shared" si="45"/>
        <v>0</v>
      </c>
      <c r="O156" s="126">
        <v>0</v>
      </c>
      <c r="P156" s="128">
        <v>0</v>
      </c>
      <c r="Q156" s="126">
        <v>0</v>
      </c>
    </row>
    <row r="157" spans="1:17" s="121" customFormat="1" ht="13.5" customHeight="1">
      <c r="A157" s="129"/>
      <c r="B157" s="129" t="s">
        <v>106</v>
      </c>
      <c r="C157" s="133" t="s">
        <v>107</v>
      </c>
      <c r="D157" s="125">
        <f t="shared" si="43"/>
        <v>54668</v>
      </c>
      <c r="E157" s="125">
        <f t="shared" si="44"/>
        <v>54668</v>
      </c>
      <c r="F157" s="126">
        <v>0</v>
      </c>
      <c r="G157" s="126">
        <v>0</v>
      </c>
      <c r="H157" s="126">
        <v>0</v>
      </c>
      <c r="I157" s="126">
        <v>0</v>
      </c>
      <c r="J157" s="126">
        <v>54668</v>
      </c>
      <c r="K157" s="126">
        <v>0</v>
      </c>
      <c r="L157" s="126">
        <v>0</v>
      </c>
      <c r="M157" s="126">
        <v>0</v>
      </c>
      <c r="N157" s="127">
        <f t="shared" si="45"/>
        <v>0</v>
      </c>
      <c r="O157" s="126">
        <v>0</v>
      </c>
      <c r="P157" s="128">
        <v>0</v>
      </c>
      <c r="Q157" s="126">
        <v>0</v>
      </c>
    </row>
    <row r="158" spans="1:17" s="121" customFormat="1" ht="13.5" customHeight="1">
      <c r="A158" s="129"/>
      <c r="B158" s="129"/>
      <c r="C158" s="134">
        <f>D158/D157</f>
        <v>0.9839760005853516</v>
      </c>
      <c r="D158" s="125">
        <f t="shared" si="43"/>
        <v>53792</v>
      </c>
      <c r="E158" s="125">
        <f t="shared" si="44"/>
        <v>53792</v>
      </c>
      <c r="F158" s="126">
        <v>0</v>
      </c>
      <c r="G158" s="126">
        <v>0</v>
      </c>
      <c r="H158" s="126">
        <v>0</v>
      </c>
      <c r="I158" s="126">
        <v>0</v>
      </c>
      <c r="J158" s="126">
        <v>53792</v>
      </c>
      <c r="K158" s="126">
        <v>0</v>
      </c>
      <c r="L158" s="126">
        <v>0</v>
      </c>
      <c r="M158" s="126">
        <v>0</v>
      </c>
      <c r="N158" s="127">
        <f t="shared" si="45"/>
        <v>0</v>
      </c>
      <c r="O158" s="126">
        <v>0</v>
      </c>
      <c r="P158" s="128">
        <v>0</v>
      </c>
      <c r="Q158" s="126">
        <v>0</v>
      </c>
    </row>
    <row r="159" spans="1:17" s="120" customFormat="1" ht="13.5" customHeight="1">
      <c r="A159" s="130" t="s">
        <v>12</v>
      </c>
      <c r="B159" s="130"/>
      <c r="C159" s="131" t="s">
        <v>40</v>
      </c>
      <c r="D159" s="124">
        <f>D161+D163+D165+D167+D169+D171+D173</f>
        <v>7217800</v>
      </c>
      <c r="E159" s="124">
        <f aca="true" t="shared" si="46" ref="E159:Q160">E161+E163+E165+E167+E169+E171+E173</f>
        <v>1692800</v>
      </c>
      <c r="F159" s="123">
        <f t="shared" si="46"/>
        <v>1688300</v>
      </c>
      <c r="G159" s="123">
        <f t="shared" si="46"/>
        <v>165727.39</v>
      </c>
      <c r="H159" s="123">
        <f t="shared" si="46"/>
        <v>1522572.61</v>
      </c>
      <c r="I159" s="123">
        <f t="shared" si="46"/>
        <v>0</v>
      </c>
      <c r="J159" s="123">
        <f t="shared" si="46"/>
        <v>4500</v>
      </c>
      <c r="K159" s="123">
        <f t="shared" si="46"/>
        <v>0</v>
      </c>
      <c r="L159" s="123">
        <f t="shared" si="46"/>
        <v>0</v>
      </c>
      <c r="M159" s="123">
        <f t="shared" si="46"/>
        <v>0</v>
      </c>
      <c r="N159" s="123">
        <f t="shared" si="46"/>
        <v>5525000</v>
      </c>
      <c r="O159" s="123">
        <f t="shared" si="46"/>
        <v>5525000</v>
      </c>
      <c r="P159" s="123">
        <f t="shared" si="46"/>
        <v>2166035</v>
      </c>
      <c r="Q159" s="123">
        <f t="shared" si="46"/>
        <v>0</v>
      </c>
    </row>
    <row r="160" spans="1:17" s="120" customFormat="1" ht="13.5" customHeight="1">
      <c r="A160" s="130"/>
      <c r="B160" s="130"/>
      <c r="C160" s="132">
        <f>D160/D159</f>
        <v>0.070418439136579</v>
      </c>
      <c r="D160" s="124">
        <f>D162+D164+D166+D168+D170+D172+D174</f>
        <v>508266.2099999999</v>
      </c>
      <c r="E160" s="124">
        <f t="shared" si="46"/>
        <v>216630.49</v>
      </c>
      <c r="F160" s="123">
        <f t="shared" si="46"/>
        <v>214957.33000000002</v>
      </c>
      <c r="G160" s="123">
        <f t="shared" si="46"/>
        <v>57035.78</v>
      </c>
      <c r="H160" s="123">
        <f t="shared" si="46"/>
        <v>157921.55</v>
      </c>
      <c r="I160" s="123">
        <f t="shared" si="46"/>
        <v>0</v>
      </c>
      <c r="J160" s="123">
        <f t="shared" si="46"/>
        <v>1673.1599999999999</v>
      </c>
      <c r="K160" s="123">
        <f t="shared" si="46"/>
        <v>0</v>
      </c>
      <c r="L160" s="123">
        <f t="shared" si="46"/>
        <v>0</v>
      </c>
      <c r="M160" s="123">
        <f t="shared" si="46"/>
        <v>0</v>
      </c>
      <c r="N160" s="123">
        <f t="shared" si="46"/>
        <v>291635.72</v>
      </c>
      <c r="O160" s="123">
        <f t="shared" si="46"/>
        <v>291635.72</v>
      </c>
      <c r="P160" s="123">
        <f t="shared" si="46"/>
        <v>0</v>
      </c>
      <c r="Q160" s="123">
        <f t="shared" si="46"/>
        <v>0</v>
      </c>
    </row>
    <row r="161" spans="1:17" s="121" customFormat="1" ht="13.5" customHeight="1">
      <c r="A161" s="129"/>
      <c r="B161" s="129" t="s">
        <v>45</v>
      </c>
      <c r="C161" s="133" t="s">
        <v>46</v>
      </c>
      <c r="D161" s="125">
        <f>E161+N161</f>
        <v>5258000</v>
      </c>
      <c r="E161" s="125">
        <f aca="true" t="shared" si="47" ref="E161:E174">F161+I161+J161+K161+L161+M161</f>
        <v>795000</v>
      </c>
      <c r="F161" s="126">
        <v>795000</v>
      </c>
      <c r="G161" s="126">
        <v>0</v>
      </c>
      <c r="H161" s="126">
        <v>795000</v>
      </c>
      <c r="I161" s="126">
        <v>0</v>
      </c>
      <c r="J161" s="126">
        <v>0</v>
      </c>
      <c r="K161" s="126">
        <v>0</v>
      </c>
      <c r="L161" s="126">
        <v>0</v>
      </c>
      <c r="M161" s="126">
        <v>0</v>
      </c>
      <c r="N161" s="127">
        <f>O161+Q161</f>
        <v>4463000</v>
      </c>
      <c r="O161" s="126">
        <v>4463000</v>
      </c>
      <c r="P161" s="128">
        <v>2166035</v>
      </c>
      <c r="Q161" s="126">
        <v>0</v>
      </c>
    </row>
    <row r="162" spans="1:17" s="121" customFormat="1" ht="13.5" customHeight="1">
      <c r="A162" s="129"/>
      <c r="B162" s="129"/>
      <c r="C162" s="134">
        <f>D162/D161</f>
        <v>0.05717995245340433</v>
      </c>
      <c r="D162" s="125">
        <f>E162+N162</f>
        <v>300652.18999999994</v>
      </c>
      <c r="E162" s="125">
        <f t="shared" si="47"/>
        <v>24496.469999999998</v>
      </c>
      <c r="F162" s="126">
        <f>G162+H162</f>
        <v>24496.469999999998</v>
      </c>
      <c r="G162" s="126">
        <v>0</v>
      </c>
      <c r="H162" s="126">
        <f>1005.01+22870.18+621.28</f>
        <v>24496.469999999998</v>
      </c>
      <c r="I162" s="126">
        <v>0</v>
      </c>
      <c r="J162" s="126">
        <v>0</v>
      </c>
      <c r="K162" s="126">
        <v>0</v>
      </c>
      <c r="L162" s="126">
        <v>0</v>
      </c>
      <c r="M162" s="126">
        <v>0</v>
      </c>
      <c r="N162" s="127">
        <f>O162+Q162</f>
        <v>276155.72</v>
      </c>
      <c r="O162" s="126">
        <v>276155.72</v>
      </c>
      <c r="P162" s="128">
        <v>0</v>
      </c>
      <c r="Q162" s="126">
        <v>0</v>
      </c>
    </row>
    <row r="163" spans="1:17" s="121" customFormat="1" ht="13.5" customHeight="1">
      <c r="A163" s="129"/>
      <c r="B163" s="129" t="s">
        <v>196</v>
      </c>
      <c r="C163" s="133" t="s">
        <v>197</v>
      </c>
      <c r="D163" s="125">
        <f aca="true" t="shared" si="48" ref="D163:D173">E163+N163</f>
        <v>400000</v>
      </c>
      <c r="E163" s="125">
        <f t="shared" si="47"/>
        <v>400000</v>
      </c>
      <c r="F163" s="126">
        <v>400000</v>
      </c>
      <c r="G163" s="126">
        <v>0</v>
      </c>
      <c r="H163" s="126">
        <v>400000</v>
      </c>
      <c r="I163" s="126">
        <v>0</v>
      </c>
      <c r="J163" s="126">
        <v>0</v>
      </c>
      <c r="K163" s="126">
        <v>0</v>
      </c>
      <c r="L163" s="126">
        <v>0</v>
      </c>
      <c r="M163" s="126">
        <v>0</v>
      </c>
      <c r="N163" s="127">
        <f aca="true" t="shared" si="49" ref="N163:N174">O163+Q163</f>
        <v>0</v>
      </c>
      <c r="O163" s="126">
        <v>0</v>
      </c>
      <c r="P163" s="126">
        <v>0</v>
      </c>
      <c r="Q163" s="126">
        <v>0</v>
      </c>
    </row>
    <row r="164" spans="1:17" s="121" customFormat="1" ht="13.5" customHeight="1">
      <c r="A164" s="129"/>
      <c r="B164" s="129"/>
      <c r="C164" s="134">
        <f>D164/D163</f>
        <v>0</v>
      </c>
      <c r="D164" s="125">
        <f>E164+N164</f>
        <v>0</v>
      </c>
      <c r="E164" s="125">
        <f t="shared" si="47"/>
        <v>0</v>
      </c>
      <c r="F164" s="126">
        <f>G164+H164</f>
        <v>0</v>
      </c>
      <c r="G164" s="126">
        <v>0</v>
      </c>
      <c r="H164" s="126">
        <v>0</v>
      </c>
      <c r="I164" s="126">
        <v>0</v>
      </c>
      <c r="J164" s="126">
        <v>0</v>
      </c>
      <c r="K164" s="126">
        <v>0</v>
      </c>
      <c r="L164" s="126">
        <v>0</v>
      </c>
      <c r="M164" s="126">
        <v>0</v>
      </c>
      <c r="N164" s="127">
        <f t="shared" si="49"/>
        <v>0</v>
      </c>
      <c r="O164" s="126">
        <v>0</v>
      </c>
      <c r="P164" s="128">
        <v>0</v>
      </c>
      <c r="Q164" s="126">
        <v>0</v>
      </c>
    </row>
    <row r="165" spans="1:17" s="121" customFormat="1" ht="13.5" customHeight="1">
      <c r="A165" s="129"/>
      <c r="B165" s="129" t="s">
        <v>591</v>
      </c>
      <c r="C165" s="133" t="s">
        <v>112</v>
      </c>
      <c r="D165" s="125">
        <f t="shared" si="48"/>
        <v>111800</v>
      </c>
      <c r="E165" s="125">
        <f t="shared" si="47"/>
        <v>111800</v>
      </c>
      <c r="F165" s="126">
        <v>108800</v>
      </c>
      <c r="G165" s="126">
        <v>61227.39</v>
      </c>
      <c r="H165" s="126">
        <v>47572.61</v>
      </c>
      <c r="I165" s="126">
        <v>0</v>
      </c>
      <c r="J165" s="126">
        <v>3000</v>
      </c>
      <c r="K165" s="126">
        <v>0</v>
      </c>
      <c r="L165" s="126">
        <v>0</v>
      </c>
      <c r="M165" s="126">
        <v>0</v>
      </c>
      <c r="N165" s="127">
        <f t="shared" si="49"/>
        <v>0</v>
      </c>
      <c r="O165" s="126">
        <v>0</v>
      </c>
      <c r="P165" s="126">
        <v>0</v>
      </c>
      <c r="Q165" s="126">
        <v>0</v>
      </c>
    </row>
    <row r="166" spans="1:17" s="121" customFormat="1" ht="13.5" customHeight="1">
      <c r="A166" s="129"/>
      <c r="B166" s="129"/>
      <c r="C166" s="134">
        <f>D166/D165</f>
        <v>0.432889892665474</v>
      </c>
      <c r="D166" s="125">
        <f>E166+N166</f>
        <v>48397.09</v>
      </c>
      <c r="E166" s="125">
        <f t="shared" si="47"/>
        <v>48397.09</v>
      </c>
      <c r="F166" s="126">
        <f>G166+H166</f>
        <v>48011.439999999995</v>
      </c>
      <c r="G166" s="126">
        <f>19711.06+1727.39+3201.47+517.35</f>
        <v>25157.27</v>
      </c>
      <c r="H166" s="126">
        <f>48397.09-G166-J166</f>
        <v>22854.169999999995</v>
      </c>
      <c r="I166" s="126">
        <v>0</v>
      </c>
      <c r="J166" s="126">
        <v>385.65</v>
      </c>
      <c r="K166" s="126">
        <v>0</v>
      </c>
      <c r="L166" s="126">
        <v>0</v>
      </c>
      <c r="M166" s="126">
        <v>0</v>
      </c>
      <c r="N166" s="127">
        <f t="shared" si="49"/>
        <v>0</v>
      </c>
      <c r="O166" s="126">
        <v>0</v>
      </c>
      <c r="P166" s="128">
        <v>0</v>
      </c>
      <c r="Q166" s="126">
        <v>0</v>
      </c>
    </row>
    <row r="167" spans="1:17" s="121" customFormat="1" ht="13.5" customHeight="1">
      <c r="A167" s="129"/>
      <c r="B167" s="129" t="s">
        <v>592</v>
      </c>
      <c r="C167" s="133" t="s">
        <v>3</v>
      </c>
      <c r="D167" s="125">
        <f t="shared" si="48"/>
        <v>109000</v>
      </c>
      <c r="E167" s="125">
        <f t="shared" si="47"/>
        <v>99000</v>
      </c>
      <c r="F167" s="126">
        <v>99000</v>
      </c>
      <c r="G167" s="126">
        <v>4000</v>
      </c>
      <c r="H167" s="126">
        <v>95000</v>
      </c>
      <c r="I167" s="126">
        <v>0</v>
      </c>
      <c r="J167" s="126">
        <v>0</v>
      </c>
      <c r="K167" s="126">
        <v>0</v>
      </c>
      <c r="L167" s="126">
        <v>0</v>
      </c>
      <c r="M167" s="126">
        <v>0</v>
      </c>
      <c r="N167" s="127">
        <f t="shared" si="49"/>
        <v>10000</v>
      </c>
      <c r="O167" s="126">
        <v>10000</v>
      </c>
      <c r="P167" s="126">
        <v>0</v>
      </c>
      <c r="Q167" s="126">
        <v>0</v>
      </c>
    </row>
    <row r="168" spans="1:17" s="121" customFormat="1" ht="13.5" customHeight="1">
      <c r="A168" s="129"/>
      <c r="B168" s="129"/>
      <c r="C168" s="134">
        <f>D168/D167</f>
        <v>0.46138532110091746</v>
      </c>
      <c r="D168" s="125">
        <f>E168+N168</f>
        <v>50291</v>
      </c>
      <c r="E168" s="125">
        <f t="shared" si="47"/>
        <v>45791</v>
      </c>
      <c r="F168" s="126">
        <f>G168+H168</f>
        <v>45791</v>
      </c>
      <c r="G168" s="126">
        <v>0</v>
      </c>
      <c r="H168" s="126">
        <f>40884.6+4906.4</f>
        <v>45791</v>
      </c>
      <c r="I168" s="126">
        <v>0</v>
      </c>
      <c r="J168" s="126">
        <v>0</v>
      </c>
      <c r="K168" s="126">
        <v>0</v>
      </c>
      <c r="L168" s="126">
        <v>0</v>
      </c>
      <c r="M168" s="126">
        <v>0</v>
      </c>
      <c r="N168" s="127">
        <f t="shared" si="49"/>
        <v>4500</v>
      </c>
      <c r="O168" s="126">
        <v>4500</v>
      </c>
      <c r="P168" s="126"/>
      <c r="Q168" s="126"/>
    </row>
    <row r="169" spans="1:17" s="121" customFormat="1" ht="13.5" customHeight="1">
      <c r="A169" s="129"/>
      <c r="B169" s="129" t="s">
        <v>593</v>
      </c>
      <c r="C169" s="133" t="s">
        <v>594</v>
      </c>
      <c r="D169" s="125">
        <f t="shared" si="48"/>
        <v>9000</v>
      </c>
      <c r="E169" s="125">
        <f t="shared" si="47"/>
        <v>9000</v>
      </c>
      <c r="F169" s="126">
        <v>9000</v>
      </c>
      <c r="G169" s="126">
        <v>0</v>
      </c>
      <c r="H169" s="126">
        <v>9000</v>
      </c>
      <c r="I169" s="126">
        <v>0</v>
      </c>
      <c r="J169" s="126">
        <v>0</v>
      </c>
      <c r="K169" s="126">
        <v>0</v>
      </c>
      <c r="L169" s="126">
        <v>0</v>
      </c>
      <c r="M169" s="126">
        <v>0</v>
      </c>
      <c r="N169" s="127">
        <f t="shared" si="49"/>
        <v>0</v>
      </c>
      <c r="O169" s="126">
        <v>0</v>
      </c>
      <c r="P169" s="126">
        <v>0</v>
      </c>
      <c r="Q169" s="126">
        <v>0</v>
      </c>
    </row>
    <row r="170" spans="1:17" s="121" customFormat="1" ht="13.5" customHeight="1">
      <c r="A170" s="129"/>
      <c r="B170" s="129"/>
      <c r="C170" s="134">
        <f>D170/D169</f>
        <v>0.6333422222222223</v>
      </c>
      <c r="D170" s="125">
        <f>E170+N170</f>
        <v>5700.08</v>
      </c>
      <c r="E170" s="125">
        <f t="shared" si="47"/>
        <v>5700.08</v>
      </c>
      <c r="F170" s="126">
        <f>G170+H170</f>
        <v>5700.08</v>
      </c>
      <c r="G170" s="126">
        <v>0</v>
      </c>
      <c r="H170" s="126">
        <v>5700.08</v>
      </c>
      <c r="I170" s="126">
        <v>0</v>
      </c>
      <c r="J170" s="126">
        <v>0</v>
      </c>
      <c r="K170" s="126">
        <v>0</v>
      </c>
      <c r="L170" s="126">
        <v>0</v>
      </c>
      <c r="M170" s="126">
        <v>0</v>
      </c>
      <c r="N170" s="127">
        <f t="shared" si="49"/>
        <v>0</v>
      </c>
      <c r="O170" s="126">
        <v>0</v>
      </c>
      <c r="P170" s="128">
        <v>0</v>
      </c>
      <c r="Q170" s="126">
        <v>0</v>
      </c>
    </row>
    <row r="171" spans="1:17" s="121" customFormat="1" ht="13.5" customHeight="1">
      <c r="A171" s="129"/>
      <c r="B171" s="129" t="s">
        <v>595</v>
      </c>
      <c r="C171" s="133" t="s">
        <v>199</v>
      </c>
      <c r="D171" s="125">
        <f t="shared" si="48"/>
        <v>135000</v>
      </c>
      <c r="E171" s="125">
        <f t="shared" si="47"/>
        <v>135000</v>
      </c>
      <c r="F171" s="126">
        <v>135000</v>
      </c>
      <c r="G171" s="126">
        <v>0</v>
      </c>
      <c r="H171" s="126">
        <v>135000</v>
      </c>
      <c r="I171" s="126">
        <v>0</v>
      </c>
      <c r="J171" s="126">
        <v>0</v>
      </c>
      <c r="K171" s="126">
        <v>0</v>
      </c>
      <c r="L171" s="126">
        <v>0</v>
      </c>
      <c r="M171" s="126">
        <v>0</v>
      </c>
      <c r="N171" s="127">
        <f t="shared" si="49"/>
        <v>0</v>
      </c>
      <c r="O171" s="126">
        <v>0</v>
      </c>
      <c r="P171" s="126">
        <v>0</v>
      </c>
      <c r="Q171" s="126">
        <v>0</v>
      </c>
    </row>
    <row r="172" spans="1:17" s="121" customFormat="1" ht="13.5" customHeight="1">
      <c r="A172" s="129"/>
      <c r="B172" s="129"/>
      <c r="C172" s="134">
        <f>D172/D171</f>
        <v>0.38573362962962965</v>
      </c>
      <c r="D172" s="125">
        <f>E172+N172</f>
        <v>52074.04</v>
      </c>
      <c r="E172" s="125">
        <f t="shared" si="47"/>
        <v>52074.04</v>
      </c>
      <c r="F172" s="126">
        <f>G172+H172</f>
        <v>52074.04</v>
      </c>
      <c r="G172" s="126">
        <v>0</v>
      </c>
      <c r="H172" s="126">
        <v>52074.04</v>
      </c>
      <c r="I172" s="126">
        <v>0</v>
      </c>
      <c r="J172" s="126">
        <v>0</v>
      </c>
      <c r="K172" s="126">
        <v>0</v>
      </c>
      <c r="L172" s="126">
        <v>0</v>
      </c>
      <c r="M172" s="126">
        <v>0</v>
      </c>
      <c r="N172" s="127">
        <f t="shared" si="49"/>
        <v>0</v>
      </c>
      <c r="O172" s="126"/>
      <c r="P172" s="126"/>
      <c r="Q172" s="126"/>
    </row>
    <row r="173" spans="1:17" s="121" customFormat="1" ht="13.5" customHeight="1">
      <c r="A173" s="129"/>
      <c r="B173" s="129" t="s">
        <v>596</v>
      </c>
      <c r="C173" s="133" t="s">
        <v>54</v>
      </c>
      <c r="D173" s="125">
        <f t="shared" si="48"/>
        <v>1195000</v>
      </c>
      <c r="E173" s="125">
        <f t="shared" si="47"/>
        <v>143000</v>
      </c>
      <c r="F173" s="126">
        <v>141500</v>
      </c>
      <c r="G173" s="126">
        <v>100500</v>
      </c>
      <c r="H173" s="126">
        <v>41000</v>
      </c>
      <c r="I173" s="126">
        <v>0</v>
      </c>
      <c r="J173" s="126">
        <v>1500</v>
      </c>
      <c r="K173" s="126">
        <v>0</v>
      </c>
      <c r="L173" s="126">
        <v>0</v>
      </c>
      <c r="M173" s="126">
        <v>0</v>
      </c>
      <c r="N173" s="127">
        <f t="shared" si="49"/>
        <v>1052000</v>
      </c>
      <c r="O173" s="126">
        <v>1052000</v>
      </c>
      <c r="P173" s="126">
        <v>0</v>
      </c>
      <c r="Q173" s="126">
        <v>0</v>
      </c>
    </row>
    <row r="174" spans="1:17" s="121" customFormat="1" ht="13.5" customHeight="1">
      <c r="A174" s="129"/>
      <c r="B174" s="129"/>
      <c r="C174" s="134">
        <f>D174/D173</f>
        <v>0.042804861924686195</v>
      </c>
      <c r="D174" s="125">
        <f>E174+N174</f>
        <v>51151.810000000005</v>
      </c>
      <c r="E174" s="125">
        <f t="shared" si="47"/>
        <v>40171.810000000005</v>
      </c>
      <c r="F174" s="126">
        <f>G174+H174</f>
        <v>38884.3</v>
      </c>
      <c r="G174" s="126">
        <f>21966.16+3120.91+5237.6+1553.84</f>
        <v>31878.51</v>
      </c>
      <c r="H174" s="126">
        <f>51151.81-G174-J174-O174</f>
        <v>7005.790000000001</v>
      </c>
      <c r="I174" s="126">
        <v>0</v>
      </c>
      <c r="J174" s="126">
        <v>1287.51</v>
      </c>
      <c r="K174" s="126">
        <v>0</v>
      </c>
      <c r="L174" s="126">
        <v>0</v>
      </c>
      <c r="M174" s="126">
        <v>0</v>
      </c>
      <c r="N174" s="127">
        <f t="shared" si="49"/>
        <v>10980</v>
      </c>
      <c r="O174" s="126">
        <v>10980</v>
      </c>
      <c r="P174" s="128">
        <v>0</v>
      </c>
      <c r="Q174" s="126">
        <v>0</v>
      </c>
    </row>
    <row r="175" spans="1:17" s="120" customFormat="1" ht="13.5" customHeight="1">
      <c r="A175" s="130" t="s">
        <v>32</v>
      </c>
      <c r="B175" s="130"/>
      <c r="C175" s="131" t="s">
        <v>31</v>
      </c>
      <c r="D175" s="124">
        <f>D177+D179+D181+D183</f>
        <v>2571400</v>
      </c>
      <c r="E175" s="124">
        <f aca="true" t="shared" si="50" ref="E175:Q176">E177+E179+E181+E183</f>
        <v>1096400</v>
      </c>
      <c r="F175" s="123">
        <f t="shared" si="50"/>
        <v>582500</v>
      </c>
      <c r="G175" s="123">
        <f t="shared" si="50"/>
        <v>0</v>
      </c>
      <c r="H175" s="123">
        <f t="shared" si="50"/>
        <v>582500</v>
      </c>
      <c r="I175" s="123">
        <f t="shared" si="50"/>
        <v>513900</v>
      </c>
      <c r="J175" s="123">
        <f t="shared" si="50"/>
        <v>0</v>
      </c>
      <c r="K175" s="123">
        <f t="shared" si="50"/>
        <v>0</v>
      </c>
      <c r="L175" s="123">
        <f t="shared" si="50"/>
        <v>0</v>
      </c>
      <c r="M175" s="123">
        <f t="shared" si="50"/>
        <v>0</v>
      </c>
      <c r="N175" s="123">
        <f t="shared" si="50"/>
        <v>1475000</v>
      </c>
      <c r="O175" s="123">
        <f t="shared" si="50"/>
        <v>1475000</v>
      </c>
      <c r="P175" s="123">
        <f t="shared" si="50"/>
        <v>0</v>
      </c>
      <c r="Q175" s="123">
        <f t="shared" si="50"/>
        <v>0</v>
      </c>
    </row>
    <row r="176" spans="1:17" s="120" customFormat="1" ht="13.5" customHeight="1">
      <c r="A176" s="130"/>
      <c r="B176" s="130"/>
      <c r="C176" s="132">
        <f>D176/D175</f>
        <v>0.1995974644162713</v>
      </c>
      <c r="D176" s="124">
        <f>D178+D180+D182+D184</f>
        <v>513244.92000000004</v>
      </c>
      <c r="E176" s="124">
        <f t="shared" si="50"/>
        <v>348844.92000000004</v>
      </c>
      <c r="F176" s="123">
        <f t="shared" si="50"/>
        <v>24782.330000000016</v>
      </c>
      <c r="G176" s="123">
        <f t="shared" si="50"/>
        <v>0</v>
      </c>
      <c r="H176" s="123">
        <f t="shared" si="50"/>
        <v>24782.330000000016</v>
      </c>
      <c r="I176" s="123">
        <f t="shared" si="50"/>
        <v>324062.58999999997</v>
      </c>
      <c r="J176" s="123">
        <f t="shared" si="50"/>
        <v>0</v>
      </c>
      <c r="K176" s="123">
        <f t="shared" si="50"/>
        <v>0</v>
      </c>
      <c r="L176" s="123">
        <f t="shared" si="50"/>
        <v>0</v>
      </c>
      <c r="M176" s="123">
        <f t="shared" si="50"/>
        <v>0</v>
      </c>
      <c r="N176" s="123">
        <f t="shared" si="50"/>
        <v>164400</v>
      </c>
      <c r="O176" s="123">
        <f t="shared" si="50"/>
        <v>164400</v>
      </c>
      <c r="P176" s="123">
        <f t="shared" si="50"/>
        <v>0</v>
      </c>
      <c r="Q176" s="123">
        <f t="shared" si="50"/>
        <v>0</v>
      </c>
    </row>
    <row r="177" spans="1:17" s="121" customFormat="1" ht="13.5" customHeight="1">
      <c r="A177" s="129"/>
      <c r="B177" s="129" t="s">
        <v>363</v>
      </c>
      <c r="C177" s="133" t="s">
        <v>597</v>
      </c>
      <c r="D177" s="125">
        <f aca="true" t="shared" si="51" ref="D177:D184">E177+N177</f>
        <v>2381400</v>
      </c>
      <c r="E177" s="125">
        <f aca="true" t="shared" si="52" ref="E177:E184">F177+I177+J177+K177+L177+M177</f>
        <v>906400</v>
      </c>
      <c r="F177" s="126">
        <v>572500</v>
      </c>
      <c r="G177" s="126">
        <v>0</v>
      </c>
      <c r="H177" s="126">
        <v>572500</v>
      </c>
      <c r="I177" s="126">
        <v>333900</v>
      </c>
      <c r="J177" s="126">
        <v>0</v>
      </c>
      <c r="K177" s="126">
        <v>0</v>
      </c>
      <c r="L177" s="126">
        <v>0</v>
      </c>
      <c r="M177" s="126">
        <v>0</v>
      </c>
      <c r="N177" s="127">
        <f>O177+Q177</f>
        <v>1475000</v>
      </c>
      <c r="O177" s="126">
        <v>1475000</v>
      </c>
      <c r="P177" s="128">
        <v>0</v>
      </c>
      <c r="Q177" s="126">
        <v>0</v>
      </c>
    </row>
    <row r="178" spans="1:17" s="121" customFormat="1" ht="13.5" customHeight="1">
      <c r="A178" s="129"/>
      <c r="B178" s="129"/>
      <c r="C178" s="134">
        <f>D178/D177</f>
        <v>0.1558672755521962</v>
      </c>
      <c r="D178" s="125">
        <f t="shared" si="51"/>
        <v>371182.33</v>
      </c>
      <c r="E178" s="125">
        <f t="shared" si="52"/>
        <v>206782.33000000002</v>
      </c>
      <c r="F178" s="126">
        <f>G178+H178</f>
        <v>21782.330000000016</v>
      </c>
      <c r="G178" s="126">
        <v>0</v>
      </c>
      <c r="H178" s="126">
        <f>371182.33-G178-I178-O178</f>
        <v>21782.330000000016</v>
      </c>
      <c r="I178" s="126">
        <v>185000</v>
      </c>
      <c r="J178" s="126">
        <v>0</v>
      </c>
      <c r="K178" s="126">
        <v>0</v>
      </c>
      <c r="L178" s="126">
        <v>0</v>
      </c>
      <c r="M178" s="126">
        <v>0</v>
      </c>
      <c r="N178" s="127">
        <f>O178+Q178</f>
        <v>164400</v>
      </c>
      <c r="O178" s="126">
        <f>24400+140000</f>
        <v>164400</v>
      </c>
      <c r="P178" s="128">
        <v>0</v>
      </c>
      <c r="Q178" s="126">
        <v>0</v>
      </c>
    </row>
    <row r="179" spans="1:17" s="121" customFormat="1" ht="13.5" customHeight="1">
      <c r="A179" s="129"/>
      <c r="B179" s="129" t="s">
        <v>364</v>
      </c>
      <c r="C179" s="133" t="s">
        <v>59</v>
      </c>
      <c r="D179" s="125">
        <f t="shared" si="51"/>
        <v>80000</v>
      </c>
      <c r="E179" s="125">
        <f t="shared" si="52"/>
        <v>80000</v>
      </c>
      <c r="F179" s="126">
        <v>0</v>
      </c>
      <c r="G179" s="126">
        <v>0</v>
      </c>
      <c r="H179" s="126">
        <v>0</v>
      </c>
      <c r="I179" s="126">
        <v>80000</v>
      </c>
      <c r="J179" s="126">
        <v>0</v>
      </c>
      <c r="K179" s="126">
        <v>0</v>
      </c>
      <c r="L179" s="126">
        <v>0</v>
      </c>
      <c r="M179" s="126">
        <v>0</v>
      </c>
      <c r="N179" s="127">
        <f aca="true" t="shared" si="53" ref="N179:N184">O179+Q179</f>
        <v>0</v>
      </c>
      <c r="O179" s="126">
        <v>0</v>
      </c>
      <c r="P179" s="128">
        <v>0</v>
      </c>
      <c r="Q179" s="126">
        <v>0</v>
      </c>
    </row>
    <row r="180" spans="1:17" s="121" customFormat="1" ht="13.5" customHeight="1">
      <c r="A180" s="129"/>
      <c r="B180" s="129"/>
      <c r="C180" s="134">
        <f>D180/D179</f>
        <v>0.48828237499999994</v>
      </c>
      <c r="D180" s="125">
        <f t="shared" si="51"/>
        <v>39062.59</v>
      </c>
      <c r="E180" s="125">
        <f t="shared" si="52"/>
        <v>39062.59</v>
      </c>
      <c r="F180" s="126">
        <v>0</v>
      </c>
      <c r="G180" s="126">
        <v>0</v>
      </c>
      <c r="H180" s="126">
        <v>0</v>
      </c>
      <c r="I180" s="126">
        <v>39062.59</v>
      </c>
      <c r="J180" s="126">
        <v>0</v>
      </c>
      <c r="K180" s="126">
        <v>0</v>
      </c>
      <c r="L180" s="126">
        <v>0</v>
      </c>
      <c r="M180" s="126">
        <v>0</v>
      </c>
      <c r="N180" s="127">
        <f t="shared" si="53"/>
        <v>0</v>
      </c>
      <c r="O180" s="126">
        <v>0</v>
      </c>
      <c r="P180" s="128">
        <v>0</v>
      </c>
      <c r="Q180" s="126">
        <v>0</v>
      </c>
    </row>
    <row r="181" spans="1:17" s="121" customFormat="1" ht="13.5" customHeight="1">
      <c r="A181" s="129"/>
      <c r="B181" s="129" t="s">
        <v>358</v>
      </c>
      <c r="C181" s="133" t="s">
        <v>261</v>
      </c>
      <c r="D181" s="125">
        <f t="shared" si="51"/>
        <v>100000</v>
      </c>
      <c r="E181" s="125">
        <f t="shared" si="52"/>
        <v>100000</v>
      </c>
      <c r="F181" s="126">
        <v>0</v>
      </c>
      <c r="G181" s="126">
        <v>0</v>
      </c>
      <c r="H181" s="126">
        <v>0</v>
      </c>
      <c r="I181" s="126">
        <v>100000</v>
      </c>
      <c r="J181" s="126">
        <v>0</v>
      </c>
      <c r="K181" s="126">
        <v>0</v>
      </c>
      <c r="L181" s="126">
        <v>0</v>
      </c>
      <c r="M181" s="126">
        <v>0</v>
      </c>
      <c r="N181" s="127">
        <f t="shared" si="53"/>
        <v>0</v>
      </c>
      <c r="O181" s="126">
        <v>0</v>
      </c>
      <c r="P181" s="128">
        <v>0</v>
      </c>
      <c r="Q181" s="126">
        <v>0</v>
      </c>
    </row>
    <row r="182" spans="1:17" s="121" customFormat="1" ht="13.5" customHeight="1">
      <c r="A182" s="129"/>
      <c r="B182" s="129"/>
      <c r="C182" s="134">
        <f>D182/D181</f>
        <v>1</v>
      </c>
      <c r="D182" s="125">
        <f t="shared" si="51"/>
        <v>100000</v>
      </c>
      <c r="E182" s="125">
        <f t="shared" si="52"/>
        <v>100000</v>
      </c>
      <c r="F182" s="126">
        <v>0</v>
      </c>
      <c r="G182" s="126">
        <v>0</v>
      </c>
      <c r="H182" s="126">
        <v>0</v>
      </c>
      <c r="I182" s="126">
        <v>100000</v>
      </c>
      <c r="J182" s="126">
        <v>0</v>
      </c>
      <c r="K182" s="126">
        <v>0</v>
      </c>
      <c r="L182" s="126">
        <v>0</v>
      </c>
      <c r="M182" s="126">
        <v>0</v>
      </c>
      <c r="N182" s="127">
        <f t="shared" si="53"/>
        <v>0</v>
      </c>
      <c r="O182" s="126">
        <v>0</v>
      </c>
      <c r="P182" s="128">
        <v>0</v>
      </c>
      <c r="Q182" s="126">
        <v>0</v>
      </c>
    </row>
    <row r="183" spans="1:17" s="121" customFormat="1" ht="13.5" customHeight="1">
      <c r="A183" s="129"/>
      <c r="B183" s="129" t="s">
        <v>598</v>
      </c>
      <c r="C183" s="133" t="s">
        <v>54</v>
      </c>
      <c r="D183" s="125">
        <f t="shared" si="51"/>
        <v>10000</v>
      </c>
      <c r="E183" s="125">
        <f t="shared" si="52"/>
        <v>10000</v>
      </c>
      <c r="F183" s="126">
        <v>10000</v>
      </c>
      <c r="G183" s="126">
        <v>0</v>
      </c>
      <c r="H183" s="126">
        <v>10000</v>
      </c>
      <c r="I183" s="126">
        <v>0</v>
      </c>
      <c r="J183" s="126">
        <v>0</v>
      </c>
      <c r="K183" s="126">
        <v>0</v>
      </c>
      <c r="L183" s="126">
        <v>0</v>
      </c>
      <c r="M183" s="126">
        <v>0</v>
      </c>
      <c r="N183" s="127">
        <f t="shared" si="53"/>
        <v>0</v>
      </c>
      <c r="O183" s="126">
        <v>0</v>
      </c>
      <c r="P183" s="128">
        <v>0</v>
      </c>
      <c r="Q183" s="126">
        <v>0</v>
      </c>
    </row>
    <row r="184" spans="1:17" s="121" customFormat="1" ht="13.5" customHeight="1">
      <c r="A184" s="129"/>
      <c r="B184" s="129"/>
      <c r="C184" s="134">
        <f>D184/D183</f>
        <v>0.3</v>
      </c>
      <c r="D184" s="125">
        <f t="shared" si="51"/>
        <v>3000</v>
      </c>
      <c r="E184" s="125">
        <f t="shared" si="52"/>
        <v>3000</v>
      </c>
      <c r="F184" s="126">
        <f>G184+H184</f>
        <v>3000</v>
      </c>
      <c r="G184" s="126">
        <v>0</v>
      </c>
      <c r="H184" s="126">
        <v>3000</v>
      </c>
      <c r="I184" s="126">
        <v>0</v>
      </c>
      <c r="J184" s="126">
        <v>0</v>
      </c>
      <c r="K184" s="126">
        <v>0</v>
      </c>
      <c r="L184" s="126">
        <v>0</v>
      </c>
      <c r="M184" s="126">
        <v>0</v>
      </c>
      <c r="N184" s="127">
        <f t="shared" si="53"/>
        <v>0</v>
      </c>
      <c r="O184" s="126">
        <v>0</v>
      </c>
      <c r="P184" s="128">
        <v>0</v>
      </c>
      <c r="Q184" s="126">
        <v>0</v>
      </c>
    </row>
    <row r="185" spans="1:17" s="120" customFormat="1" ht="13.5" customHeight="1">
      <c r="A185" s="130" t="s">
        <v>33</v>
      </c>
      <c r="B185" s="130"/>
      <c r="C185" s="131" t="s">
        <v>50</v>
      </c>
      <c r="D185" s="124">
        <f>D187+D189+D191</f>
        <v>6170500</v>
      </c>
      <c r="E185" s="124">
        <f aca="true" t="shared" si="54" ref="E185:Q186">E187+E189+E191</f>
        <v>1170500</v>
      </c>
      <c r="F185" s="123">
        <f t="shared" si="54"/>
        <v>1065000</v>
      </c>
      <c r="G185" s="123">
        <f t="shared" si="54"/>
        <v>20000</v>
      </c>
      <c r="H185" s="123">
        <f t="shared" si="54"/>
        <v>1045000</v>
      </c>
      <c r="I185" s="123">
        <f t="shared" si="54"/>
        <v>105500</v>
      </c>
      <c r="J185" s="123">
        <f t="shared" si="54"/>
        <v>0</v>
      </c>
      <c r="K185" s="123">
        <f t="shared" si="54"/>
        <v>0</v>
      </c>
      <c r="L185" s="123">
        <f t="shared" si="54"/>
        <v>0</v>
      </c>
      <c r="M185" s="123">
        <f t="shared" si="54"/>
        <v>0</v>
      </c>
      <c r="N185" s="123">
        <f t="shared" si="54"/>
        <v>5000000</v>
      </c>
      <c r="O185" s="123">
        <f t="shared" si="54"/>
        <v>5000000</v>
      </c>
      <c r="P185" s="123">
        <f t="shared" si="54"/>
        <v>500000</v>
      </c>
      <c r="Q185" s="123">
        <f t="shared" si="54"/>
        <v>0</v>
      </c>
    </row>
    <row r="186" spans="1:17" s="120" customFormat="1" ht="13.5" customHeight="1">
      <c r="A186" s="130"/>
      <c r="B186" s="130"/>
      <c r="C186" s="132">
        <f>D186/D185</f>
        <v>0.01384767684952597</v>
      </c>
      <c r="D186" s="124">
        <f>D188+D190+D192</f>
        <v>85447.09</v>
      </c>
      <c r="E186" s="124">
        <f t="shared" si="54"/>
        <v>69865.06</v>
      </c>
      <c r="F186" s="123">
        <f t="shared" si="54"/>
        <v>17865.06</v>
      </c>
      <c r="G186" s="123">
        <f t="shared" si="54"/>
        <v>7684.26</v>
      </c>
      <c r="H186" s="123">
        <f t="shared" si="54"/>
        <v>10180.8</v>
      </c>
      <c r="I186" s="123">
        <f t="shared" si="54"/>
        <v>52000</v>
      </c>
      <c r="J186" s="123">
        <f t="shared" si="54"/>
        <v>0</v>
      </c>
      <c r="K186" s="123">
        <f t="shared" si="54"/>
        <v>0</v>
      </c>
      <c r="L186" s="123">
        <f t="shared" si="54"/>
        <v>0</v>
      </c>
      <c r="M186" s="123">
        <f t="shared" si="54"/>
        <v>0</v>
      </c>
      <c r="N186" s="123">
        <f t="shared" si="54"/>
        <v>15582.03</v>
      </c>
      <c r="O186" s="123">
        <f t="shared" si="54"/>
        <v>15582.03</v>
      </c>
      <c r="P186" s="123">
        <f t="shared" si="54"/>
        <v>0</v>
      </c>
      <c r="Q186" s="123">
        <f t="shared" si="54"/>
        <v>0</v>
      </c>
    </row>
    <row r="187" spans="1:17" s="121" customFormat="1" ht="13.5" customHeight="1">
      <c r="A187" s="129"/>
      <c r="B187" s="129" t="s">
        <v>599</v>
      </c>
      <c r="C187" s="133" t="s">
        <v>34</v>
      </c>
      <c r="D187" s="125">
        <f aca="true" t="shared" si="55" ref="D187:D192">E187+N187</f>
        <v>6048000</v>
      </c>
      <c r="E187" s="125">
        <f aca="true" t="shared" si="56" ref="E187:E192">F187+I187+J187+K187+L187+M187</f>
        <v>1048000</v>
      </c>
      <c r="F187" s="126">
        <v>1048000</v>
      </c>
      <c r="G187" s="126">
        <v>20000</v>
      </c>
      <c r="H187" s="126">
        <v>1028000</v>
      </c>
      <c r="I187" s="126">
        <v>0</v>
      </c>
      <c r="J187" s="126">
        <v>0</v>
      </c>
      <c r="K187" s="126">
        <v>0</v>
      </c>
      <c r="L187" s="126">
        <v>0</v>
      </c>
      <c r="M187" s="126">
        <v>0</v>
      </c>
      <c r="N187" s="127">
        <f aca="true" t="shared" si="57" ref="N187:N192">O187+Q187</f>
        <v>5000000</v>
      </c>
      <c r="O187" s="126">
        <v>5000000</v>
      </c>
      <c r="P187" s="128">
        <v>500000</v>
      </c>
      <c r="Q187" s="126">
        <v>0</v>
      </c>
    </row>
    <row r="188" spans="1:17" s="121" customFormat="1" ht="13.5" customHeight="1">
      <c r="A188" s="129"/>
      <c r="B188" s="129"/>
      <c r="C188" s="134">
        <f>D188/D187</f>
        <v>0.0038469394841269843</v>
      </c>
      <c r="D188" s="125">
        <f t="shared" si="55"/>
        <v>23266.29</v>
      </c>
      <c r="E188" s="125">
        <f t="shared" si="56"/>
        <v>7684.26</v>
      </c>
      <c r="F188" s="126">
        <f>G188+H188</f>
        <v>7684.26</v>
      </c>
      <c r="G188" s="126">
        <v>7684.26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0</v>
      </c>
      <c r="N188" s="127">
        <f t="shared" si="57"/>
        <v>15582.03</v>
      </c>
      <c r="O188" s="126">
        <v>15582.03</v>
      </c>
      <c r="P188" s="128">
        <v>0</v>
      </c>
      <c r="Q188" s="126">
        <v>0</v>
      </c>
    </row>
    <row r="189" spans="1:17" s="121" customFormat="1" ht="13.5" customHeight="1">
      <c r="A189" s="129"/>
      <c r="B189" s="129" t="s">
        <v>206</v>
      </c>
      <c r="C189" s="133" t="s">
        <v>63</v>
      </c>
      <c r="D189" s="125">
        <f t="shared" si="55"/>
        <v>85000</v>
      </c>
      <c r="E189" s="125">
        <f t="shared" si="56"/>
        <v>85000</v>
      </c>
      <c r="F189" s="126">
        <v>14000</v>
      </c>
      <c r="G189" s="126">
        <v>0</v>
      </c>
      <c r="H189" s="126">
        <v>14000</v>
      </c>
      <c r="I189" s="126">
        <v>71000</v>
      </c>
      <c r="J189" s="126">
        <v>0</v>
      </c>
      <c r="K189" s="126">
        <v>0</v>
      </c>
      <c r="L189" s="126">
        <v>0</v>
      </c>
      <c r="M189" s="126">
        <v>0</v>
      </c>
      <c r="N189" s="127">
        <f t="shared" si="57"/>
        <v>0</v>
      </c>
      <c r="O189" s="126">
        <v>0</v>
      </c>
      <c r="P189" s="128">
        <v>0</v>
      </c>
      <c r="Q189" s="126">
        <v>0</v>
      </c>
    </row>
    <row r="190" spans="1:17" s="121" customFormat="1" ht="13.5" customHeight="1">
      <c r="A190" s="129"/>
      <c r="B190" s="129"/>
      <c r="C190" s="134">
        <f>D190/D189</f>
        <v>0.6274185882352942</v>
      </c>
      <c r="D190" s="125">
        <f t="shared" si="55"/>
        <v>53330.58</v>
      </c>
      <c r="E190" s="125">
        <f t="shared" si="56"/>
        <v>53330.58</v>
      </c>
      <c r="F190" s="126">
        <f>G190+H190</f>
        <v>9330.58</v>
      </c>
      <c r="G190" s="126">
        <v>0</v>
      </c>
      <c r="H190" s="126">
        <v>9330.58</v>
      </c>
      <c r="I190" s="126">
        <f>18000+14000+12000</f>
        <v>44000</v>
      </c>
      <c r="J190" s="126">
        <v>0</v>
      </c>
      <c r="K190" s="126">
        <v>0</v>
      </c>
      <c r="L190" s="126">
        <v>0</v>
      </c>
      <c r="M190" s="126">
        <v>0</v>
      </c>
      <c r="N190" s="127">
        <f t="shared" si="57"/>
        <v>0</v>
      </c>
      <c r="O190" s="126">
        <v>0</v>
      </c>
      <c r="P190" s="128">
        <v>0</v>
      </c>
      <c r="Q190" s="126">
        <v>0</v>
      </c>
    </row>
    <row r="191" spans="1:17" s="121" customFormat="1" ht="13.5" customHeight="1">
      <c r="A191" s="129"/>
      <c r="B191" s="129" t="s">
        <v>360</v>
      </c>
      <c r="C191" s="133" t="s">
        <v>262</v>
      </c>
      <c r="D191" s="125">
        <f t="shared" si="55"/>
        <v>37500</v>
      </c>
      <c r="E191" s="125">
        <f t="shared" si="56"/>
        <v>37500</v>
      </c>
      <c r="F191" s="126">
        <v>3000</v>
      </c>
      <c r="G191" s="126">
        <v>0</v>
      </c>
      <c r="H191" s="126">
        <v>3000</v>
      </c>
      <c r="I191" s="126">
        <v>34500</v>
      </c>
      <c r="J191" s="126">
        <v>0</v>
      </c>
      <c r="K191" s="126">
        <v>0</v>
      </c>
      <c r="L191" s="126">
        <v>0</v>
      </c>
      <c r="M191" s="126">
        <v>0</v>
      </c>
      <c r="N191" s="127">
        <f t="shared" si="57"/>
        <v>0</v>
      </c>
      <c r="O191" s="126">
        <v>0</v>
      </c>
      <c r="P191" s="128">
        <v>0</v>
      </c>
      <c r="Q191" s="126">
        <v>0</v>
      </c>
    </row>
    <row r="192" spans="1:17" s="121" customFormat="1" ht="13.5" customHeight="1">
      <c r="A192" s="129"/>
      <c r="B192" s="129"/>
      <c r="C192" s="134">
        <f>D192/D191</f>
        <v>0.23600586666666665</v>
      </c>
      <c r="D192" s="125">
        <f t="shared" si="55"/>
        <v>8850.22</v>
      </c>
      <c r="E192" s="125">
        <f t="shared" si="56"/>
        <v>8850.22</v>
      </c>
      <c r="F192" s="126">
        <f>G192+H192</f>
        <v>850.22</v>
      </c>
      <c r="G192" s="126">
        <v>0</v>
      </c>
      <c r="H192" s="126">
        <v>850.22</v>
      </c>
      <c r="I192" s="126">
        <v>8000</v>
      </c>
      <c r="J192" s="126">
        <v>0</v>
      </c>
      <c r="K192" s="126">
        <v>0</v>
      </c>
      <c r="L192" s="126">
        <v>0</v>
      </c>
      <c r="M192" s="126">
        <v>0</v>
      </c>
      <c r="N192" s="127">
        <f t="shared" si="57"/>
        <v>0</v>
      </c>
      <c r="O192" s="126">
        <v>0</v>
      </c>
      <c r="P192" s="128">
        <v>0</v>
      </c>
      <c r="Q192" s="126">
        <v>0</v>
      </c>
    </row>
    <row r="193" spans="1:17" s="121" customFormat="1" ht="14.25" customHeight="1">
      <c r="A193" s="218" t="s">
        <v>600</v>
      </c>
      <c r="B193" s="218"/>
      <c r="C193" s="218"/>
      <c r="D193" s="124">
        <f aca="true" t="shared" si="58" ref="D193:Q194">D11+D19+D23+D27++D39+D45+D49+D55+D67+D73+D85+D89+D93+D99+D115+D119+D127+D147+D151+D159+D175+D185</f>
        <v>62246133.94</v>
      </c>
      <c r="E193" s="124">
        <f t="shared" si="58"/>
        <v>19230247.86</v>
      </c>
      <c r="F193" s="124">
        <f t="shared" si="58"/>
        <v>15552608.77</v>
      </c>
      <c r="G193" s="124">
        <f t="shared" si="58"/>
        <v>5678393.38</v>
      </c>
      <c r="H193" s="124">
        <f t="shared" si="58"/>
        <v>9874215.39</v>
      </c>
      <c r="I193" s="124">
        <f t="shared" si="58"/>
        <v>710650</v>
      </c>
      <c r="J193" s="124">
        <f t="shared" si="58"/>
        <v>2549862</v>
      </c>
      <c r="K193" s="124">
        <f t="shared" si="58"/>
        <v>377127.08999999997</v>
      </c>
      <c r="L193" s="124">
        <f t="shared" si="58"/>
        <v>0</v>
      </c>
      <c r="M193" s="124">
        <f t="shared" si="58"/>
        <v>40000</v>
      </c>
      <c r="N193" s="124">
        <f t="shared" si="58"/>
        <v>43015886.08</v>
      </c>
      <c r="O193" s="124">
        <f t="shared" si="58"/>
        <v>43015886.08</v>
      </c>
      <c r="P193" s="124">
        <f t="shared" si="58"/>
        <v>8890642.08</v>
      </c>
      <c r="Q193" s="124">
        <f t="shared" si="58"/>
        <v>0</v>
      </c>
    </row>
    <row r="194" spans="1:17" s="121" customFormat="1" ht="14.25" customHeight="1">
      <c r="A194" s="218" t="s">
        <v>601</v>
      </c>
      <c r="B194" s="218"/>
      <c r="C194" s="218"/>
      <c r="D194" s="124">
        <f t="shared" si="58"/>
        <v>12346444.17</v>
      </c>
      <c r="E194" s="124">
        <f t="shared" si="58"/>
        <v>7059324.41</v>
      </c>
      <c r="F194" s="124">
        <f t="shared" si="58"/>
        <v>5185118.84</v>
      </c>
      <c r="G194" s="124">
        <f t="shared" si="58"/>
        <v>2775652.5099999993</v>
      </c>
      <c r="H194" s="124">
        <f t="shared" si="58"/>
        <v>2409466.3299999996</v>
      </c>
      <c r="I194" s="124">
        <f t="shared" si="58"/>
        <v>408603.58999999997</v>
      </c>
      <c r="J194" s="124">
        <f t="shared" si="58"/>
        <v>1284914</v>
      </c>
      <c r="K194" s="124">
        <f t="shared" si="58"/>
        <v>180687.98</v>
      </c>
      <c r="L194" s="124">
        <f t="shared" si="58"/>
        <v>0</v>
      </c>
      <c r="M194" s="124">
        <f t="shared" si="58"/>
        <v>0</v>
      </c>
      <c r="N194" s="124">
        <f t="shared" si="58"/>
        <v>5287119.76</v>
      </c>
      <c r="O194" s="124">
        <f t="shared" si="58"/>
        <v>5287119.76</v>
      </c>
      <c r="P194" s="124">
        <f t="shared" si="58"/>
        <v>3625821.48</v>
      </c>
      <c r="Q194" s="124">
        <f t="shared" si="58"/>
        <v>0</v>
      </c>
    </row>
    <row r="195" spans="4:17" ht="11.25"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</row>
    <row r="196" ht="11.25">
      <c r="J196" s="118"/>
    </row>
  </sheetData>
  <sheetProtection/>
  <mergeCells count="22">
    <mergeCell ref="A193:C193"/>
    <mergeCell ref="A194:C194"/>
    <mergeCell ref="A4:A9"/>
    <mergeCell ref="B4:B9"/>
    <mergeCell ref="C4:C9"/>
    <mergeCell ref="D4:D9"/>
    <mergeCell ref="I7:I9"/>
    <mergeCell ref="J7:J9"/>
    <mergeCell ref="K7:K9"/>
    <mergeCell ref="L7:L9"/>
    <mergeCell ref="M7:M9"/>
    <mergeCell ref="P8:P9"/>
    <mergeCell ref="E4:Q4"/>
    <mergeCell ref="E5:E9"/>
    <mergeCell ref="F5:M6"/>
    <mergeCell ref="N5:N9"/>
    <mergeCell ref="O5:Q5"/>
    <mergeCell ref="O6:O9"/>
    <mergeCell ref="P6:P7"/>
    <mergeCell ref="Q6:Q9"/>
    <mergeCell ref="F7:F9"/>
    <mergeCell ref="G7:H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22">
      <selection activeCell="F2" sqref="F2"/>
    </sheetView>
  </sheetViews>
  <sheetFormatPr defaultColWidth="9.00390625" defaultRowHeight="12.75"/>
  <cols>
    <col min="1" max="1" width="4.75390625" style="34" bestFit="1" customWidth="1"/>
    <col min="2" max="2" width="39.125" style="34" customWidth="1"/>
    <col min="3" max="3" width="13.00390625" style="34" customWidth="1"/>
    <col min="4" max="6" width="13.75390625" style="34" customWidth="1"/>
    <col min="7" max="16384" width="9.125" style="34" customWidth="1"/>
  </cols>
  <sheetData>
    <row r="1" ht="12.75">
      <c r="F1" s="52" t="s">
        <v>361</v>
      </c>
    </row>
    <row r="2" spans="1:6" ht="18.75">
      <c r="A2" s="219" t="s">
        <v>606</v>
      </c>
      <c r="B2" s="219"/>
      <c r="F2" s="136" t="s">
        <v>605</v>
      </c>
    </row>
    <row r="3" spans="1:4" ht="18.75">
      <c r="A3" s="219" t="s">
        <v>638</v>
      </c>
      <c r="B3" s="219"/>
      <c r="D3" s="52"/>
    </row>
    <row r="4" ht="12.75" customHeight="1">
      <c r="F4" s="35" t="s">
        <v>200</v>
      </c>
    </row>
    <row r="5" spans="1:6" ht="42" customHeight="1">
      <c r="A5" s="36" t="s">
        <v>127</v>
      </c>
      <c r="B5" s="36" t="s">
        <v>607</v>
      </c>
      <c r="C5" s="37" t="s">
        <v>608</v>
      </c>
      <c r="D5" s="37" t="s">
        <v>129</v>
      </c>
      <c r="E5" s="37" t="s">
        <v>366</v>
      </c>
      <c r="F5" s="37" t="s">
        <v>254</v>
      </c>
    </row>
    <row r="6" spans="1:6" s="137" customFormat="1" ht="10.5" customHeight="1">
      <c r="A6" s="38">
        <v>1</v>
      </c>
      <c r="B6" s="38">
        <v>2</v>
      </c>
      <c r="C6" s="38">
        <v>3</v>
      </c>
      <c r="D6" s="38">
        <v>4</v>
      </c>
      <c r="E6" s="38">
        <v>4</v>
      </c>
      <c r="F6" s="38">
        <v>4</v>
      </c>
    </row>
    <row r="7" spans="1:6" ht="18.75" customHeight="1">
      <c r="A7" s="220" t="s">
        <v>609</v>
      </c>
      <c r="B7" s="220"/>
      <c r="C7" s="45"/>
      <c r="D7" s="42">
        <f>SUM(D8:D15)</f>
        <v>19447058.53</v>
      </c>
      <c r="E7" s="42">
        <f>SUM(E8:E15)</f>
        <v>17947058.53</v>
      </c>
      <c r="F7" s="152">
        <f>E7/D7</f>
        <v>0.9228675124473953</v>
      </c>
    </row>
    <row r="8" spans="1:6" ht="18.75" customHeight="1">
      <c r="A8" s="138" t="s">
        <v>119</v>
      </c>
      <c r="B8" s="139" t="s">
        <v>610</v>
      </c>
      <c r="C8" s="138" t="s">
        <v>611</v>
      </c>
      <c r="D8" s="140">
        <v>0</v>
      </c>
      <c r="E8" s="140">
        <v>0</v>
      </c>
      <c r="F8" s="153">
        <v>0</v>
      </c>
    </row>
    <row r="9" spans="1:6" ht="18.75" customHeight="1">
      <c r="A9" s="141" t="s">
        <v>120</v>
      </c>
      <c r="B9" s="142" t="s">
        <v>612</v>
      </c>
      <c r="C9" s="141" t="s">
        <v>611</v>
      </c>
      <c r="D9" s="143">
        <v>1500000</v>
      </c>
      <c r="E9" s="143">
        <v>0</v>
      </c>
      <c r="F9" s="153">
        <f>E9/D9</f>
        <v>0</v>
      </c>
    </row>
    <row r="10" spans="1:6" ht="25.5">
      <c r="A10" s="141" t="s">
        <v>121</v>
      </c>
      <c r="B10" s="144" t="s">
        <v>613</v>
      </c>
      <c r="C10" s="141" t="s">
        <v>614</v>
      </c>
      <c r="D10" s="143">
        <v>0</v>
      </c>
      <c r="E10" s="143">
        <v>0</v>
      </c>
      <c r="F10" s="153">
        <v>0</v>
      </c>
    </row>
    <row r="11" spans="1:6" ht="18.75" customHeight="1">
      <c r="A11" s="141" t="s">
        <v>122</v>
      </c>
      <c r="B11" s="142" t="s">
        <v>615</v>
      </c>
      <c r="C11" s="141" t="s">
        <v>616</v>
      </c>
      <c r="D11" s="143">
        <v>0</v>
      </c>
      <c r="E11" s="143">
        <v>0</v>
      </c>
      <c r="F11" s="153">
        <v>0</v>
      </c>
    </row>
    <row r="12" spans="1:6" ht="18.75" customHeight="1">
      <c r="A12" s="141" t="s">
        <v>123</v>
      </c>
      <c r="B12" s="142" t="s">
        <v>617</v>
      </c>
      <c r="C12" s="141" t="s">
        <v>618</v>
      </c>
      <c r="D12" s="143">
        <v>0</v>
      </c>
      <c r="E12" s="143">
        <v>0</v>
      </c>
      <c r="F12" s="153">
        <v>0</v>
      </c>
    </row>
    <row r="13" spans="1:6" ht="18.75" customHeight="1">
      <c r="A13" s="141" t="s">
        <v>124</v>
      </c>
      <c r="B13" s="142" t="s">
        <v>619</v>
      </c>
      <c r="C13" s="141" t="s">
        <v>620</v>
      </c>
      <c r="D13" s="143">
        <v>5247058.53</v>
      </c>
      <c r="E13" s="143">
        <v>5247058.53</v>
      </c>
      <c r="F13" s="153">
        <f>E13/D13</f>
        <v>1</v>
      </c>
    </row>
    <row r="14" spans="1:6" ht="18.75" customHeight="1">
      <c r="A14" s="141" t="s">
        <v>125</v>
      </c>
      <c r="B14" s="142" t="s">
        <v>621</v>
      </c>
      <c r="C14" s="141" t="s">
        <v>622</v>
      </c>
      <c r="D14" s="143">
        <v>0</v>
      </c>
      <c r="E14" s="143">
        <v>0</v>
      </c>
      <c r="F14" s="153">
        <v>0</v>
      </c>
    </row>
    <row r="15" spans="1:6" ht="18.75" customHeight="1">
      <c r="A15" s="141" t="s">
        <v>126</v>
      </c>
      <c r="B15" s="145" t="s">
        <v>623</v>
      </c>
      <c r="C15" s="146" t="s">
        <v>624</v>
      </c>
      <c r="D15" s="147">
        <v>12700000</v>
      </c>
      <c r="E15" s="147">
        <v>12700000</v>
      </c>
      <c r="F15" s="153">
        <f>E15/D15</f>
        <v>1</v>
      </c>
    </row>
    <row r="16" spans="1:6" ht="18.75" customHeight="1">
      <c r="A16" s="220" t="s">
        <v>625</v>
      </c>
      <c r="B16" s="220"/>
      <c r="C16" s="45"/>
      <c r="D16" s="42">
        <f>SUM(D17:D23)</f>
        <v>0</v>
      </c>
      <c r="E16" s="42">
        <f>SUM(E17:E23)</f>
        <v>0</v>
      </c>
      <c r="F16" s="152">
        <v>0</v>
      </c>
    </row>
    <row r="17" spans="1:6" ht="18.75" customHeight="1">
      <c r="A17" s="138" t="s">
        <v>119</v>
      </c>
      <c r="B17" s="139" t="s">
        <v>626</v>
      </c>
      <c r="C17" s="138" t="s">
        <v>627</v>
      </c>
      <c r="D17" s="140">
        <v>0</v>
      </c>
      <c r="E17" s="140">
        <v>0</v>
      </c>
      <c r="F17" s="153">
        <v>0</v>
      </c>
    </row>
    <row r="18" spans="1:6" ht="18.75" customHeight="1">
      <c r="A18" s="141" t="s">
        <v>120</v>
      </c>
      <c r="B18" s="142" t="s">
        <v>628</v>
      </c>
      <c r="C18" s="141" t="s">
        <v>627</v>
      </c>
      <c r="D18" s="143">
        <v>0</v>
      </c>
      <c r="E18" s="143">
        <v>0</v>
      </c>
      <c r="F18" s="153">
        <v>0</v>
      </c>
    </row>
    <row r="19" spans="1:6" ht="38.25">
      <c r="A19" s="141" t="s">
        <v>121</v>
      </c>
      <c r="B19" s="144" t="s">
        <v>629</v>
      </c>
      <c r="C19" s="141" t="s">
        <v>630</v>
      </c>
      <c r="D19" s="143">
        <v>0</v>
      </c>
      <c r="E19" s="143">
        <v>0</v>
      </c>
      <c r="F19" s="153">
        <v>0</v>
      </c>
    </row>
    <row r="20" spans="1:6" ht="18.75" customHeight="1">
      <c r="A20" s="141" t="s">
        <v>122</v>
      </c>
      <c r="B20" s="142" t="s">
        <v>631</v>
      </c>
      <c r="C20" s="141" t="s">
        <v>632</v>
      </c>
      <c r="D20" s="143">
        <v>0</v>
      </c>
      <c r="E20" s="143">
        <v>0</v>
      </c>
      <c r="F20" s="153">
        <v>0</v>
      </c>
    </row>
    <row r="21" spans="1:6" ht="18.75" customHeight="1">
      <c r="A21" s="141" t="s">
        <v>123</v>
      </c>
      <c r="B21" s="142" t="s">
        <v>633</v>
      </c>
      <c r="C21" s="141" t="s">
        <v>624</v>
      </c>
      <c r="D21" s="143">
        <v>0</v>
      </c>
      <c r="E21" s="143">
        <v>0</v>
      </c>
      <c r="F21" s="153">
        <v>0</v>
      </c>
    </row>
    <row r="22" spans="1:6" ht="18.75" customHeight="1">
      <c r="A22" s="141" t="s">
        <v>124</v>
      </c>
      <c r="B22" s="142" t="s">
        <v>634</v>
      </c>
      <c r="C22" s="141" t="s">
        <v>635</v>
      </c>
      <c r="D22" s="143">
        <v>0</v>
      </c>
      <c r="E22" s="143">
        <v>0</v>
      </c>
      <c r="F22" s="153">
        <v>0</v>
      </c>
    </row>
    <row r="23" spans="1:6" ht="18.75" customHeight="1">
      <c r="A23" s="146" t="s">
        <v>125</v>
      </c>
      <c r="B23" s="145" t="s">
        <v>636</v>
      </c>
      <c r="C23" s="146" t="s">
        <v>637</v>
      </c>
      <c r="D23" s="147">
        <v>0</v>
      </c>
      <c r="E23" s="147">
        <v>0</v>
      </c>
      <c r="F23" s="154">
        <v>0</v>
      </c>
    </row>
    <row r="24" spans="1:4" ht="15" customHeight="1">
      <c r="A24" s="148"/>
      <c r="B24" s="149"/>
      <c r="C24" s="149"/>
      <c r="D24" s="149"/>
    </row>
    <row r="25" spans="1:4" ht="12.75">
      <c r="A25" s="150"/>
      <c r="B25" s="151"/>
      <c r="C25" s="151"/>
      <c r="D25" s="151"/>
    </row>
  </sheetData>
  <sheetProtection/>
  <mergeCells count="4">
    <mergeCell ref="A2:B2"/>
    <mergeCell ref="A3:B3"/>
    <mergeCell ref="A7:B7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9">
      <selection activeCell="K2" sqref="K2"/>
    </sheetView>
  </sheetViews>
  <sheetFormatPr defaultColWidth="9.00390625" defaultRowHeight="12.75"/>
  <cols>
    <col min="1" max="2" width="9.125" style="2" customWidth="1"/>
    <col min="3" max="3" width="65.00390625" style="2" customWidth="1"/>
    <col min="4" max="11" width="13.75390625" style="2" customWidth="1"/>
    <col min="12" max="16384" width="9.125" style="2" customWidth="1"/>
  </cols>
  <sheetData>
    <row r="1" spans="1:11" ht="18.75">
      <c r="A1" s="212" t="s">
        <v>440</v>
      </c>
      <c r="B1" s="212"/>
      <c r="C1" s="212"/>
      <c r="D1" s="212"/>
      <c r="E1" s="212"/>
      <c r="F1" s="212"/>
      <c r="G1" s="212"/>
      <c r="H1" s="34"/>
      <c r="I1" s="34"/>
      <c r="J1" s="34"/>
      <c r="K1" s="52" t="s">
        <v>365</v>
      </c>
    </row>
    <row r="2" spans="1:11" ht="18.75">
      <c r="A2" s="221" t="s">
        <v>639</v>
      </c>
      <c r="B2" s="221"/>
      <c r="C2" s="221"/>
      <c r="D2" s="221"/>
      <c r="E2" s="221"/>
      <c r="F2" s="221"/>
      <c r="G2" s="221"/>
      <c r="H2" s="75"/>
      <c r="I2" s="75"/>
      <c r="J2" s="75"/>
      <c r="K2" s="136" t="s">
        <v>605</v>
      </c>
    </row>
    <row r="3" spans="1:11" ht="18.75">
      <c r="A3" s="212" t="s">
        <v>640</v>
      </c>
      <c r="B3" s="212"/>
      <c r="C3" s="212"/>
      <c r="D3" s="212"/>
      <c r="E3" s="212"/>
      <c r="F3" s="212"/>
      <c r="G3" s="212"/>
      <c r="H3" s="76"/>
      <c r="I3" s="76"/>
      <c r="J3" s="76"/>
      <c r="K3" s="52"/>
    </row>
    <row r="4" spans="2:11" ht="12.75">
      <c r="B4" s="222"/>
      <c r="C4" s="222"/>
      <c r="D4" s="223"/>
      <c r="E4" s="223"/>
      <c r="K4" s="52"/>
    </row>
    <row r="5" spans="2:5" ht="12.75">
      <c r="B5" s="77"/>
      <c r="C5" s="77"/>
      <c r="D5" s="78"/>
      <c r="E5" s="78"/>
    </row>
    <row r="6" spans="1:11" ht="12.75">
      <c r="A6" s="224" t="s">
        <v>47</v>
      </c>
      <c r="B6" s="227" t="s">
        <v>51</v>
      </c>
      <c r="C6" s="230" t="s">
        <v>44</v>
      </c>
      <c r="D6" s="230" t="s">
        <v>138</v>
      </c>
      <c r="E6" s="230" t="s">
        <v>641</v>
      </c>
      <c r="F6" s="155" t="s">
        <v>642</v>
      </c>
      <c r="G6" s="156"/>
      <c r="H6" s="156"/>
      <c r="I6" s="156"/>
      <c r="J6" s="156"/>
      <c r="K6" s="157"/>
    </row>
    <row r="7" spans="1:11" ht="12.75">
      <c r="A7" s="225"/>
      <c r="B7" s="228"/>
      <c r="C7" s="231"/>
      <c r="D7" s="231"/>
      <c r="E7" s="231"/>
      <c r="F7" s="228" t="s">
        <v>514</v>
      </c>
      <c r="G7" s="158" t="s">
        <v>643</v>
      </c>
      <c r="H7" s="159"/>
      <c r="I7" s="159"/>
      <c r="J7" s="159"/>
      <c r="K7" s="233" t="s">
        <v>515</v>
      </c>
    </row>
    <row r="8" spans="1:11" ht="12.75">
      <c r="A8" s="225"/>
      <c r="B8" s="228"/>
      <c r="C8" s="231"/>
      <c r="D8" s="231"/>
      <c r="E8" s="231"/>
      <c r="F8" s="228"/>
      <c r="G8" s="235" t="s">
        <v>644</v>
      </c>
      <c r="H8" s="236"/>
      <c r="I8" s="237" t="s">
        <v>520</v>
      </c>
      <c r="J8" s="237" t="s">
        <v>521</v>
      </c>
      <c r="K8" s="233"/>
    </row>
    <row r="9" spans="1:11" ht="63.75">
      <c r="A9" s="226"/>
      <c r="B9" s="229"/>
      <c r="C9" s="232"/>
      <c r="D9" s="232"/>
      <c r="E9" s="232"/>
      <c r="F9" s="229"/>
      <c r="G9" s="160" t="s">
        <v>525</v>
      </c>
      <c r="H9" s="160" t="s">
        <v>526</v>
      </c>
      <c r="I9" s="229"/>
      <c r="J9" s="229"/>
      <c r="K9" s="234"/>
    </row>
    <row r="10" spans="1:11" s="163" customFormat="1" ht="11.25">
      <c r="A10" s="176" t="s">
        <v>527</v>
      </c>
      <c r="B10" s="162" t="s">
        <v>528</v>
      </c>
      <c r="C10" s="161">
        <v>3</v>
      </c>
      <c r="D10" s="161">
        <v>4</v>
      </c>
      <c r="E10" s="161">
        <v>5</v>
      </c>
      <c r="F10" s="162">
        <v>6</v>
      </c>
      <c r="G10" s="162">
        <v>7</v>
      </c>
      <c r="H10" s="162">
        <v>8</v>
      </c>
      <c r="I10" s="162">
        <v>9</v>
      </c>
      <c r="J10" s="162">
        <v>10</v>
      </c>
      <c r="K10" s="177">
        <v>11</v>
      </c>
    </row>
    <row r="11" spans="1:11" s="164" customFormat="1" ht="15.75" customHeight="1">
      <c r="A11" s="178" t="s">
        <v>6</v>
      </c>
      <c r="B11" s="169"/>
      <c r="C11" s="170" t="s">
        <v>9</v>
      </c>
      <c r="D11" s="171">
        <f>D13</f>
        <v>92417.3</v>
      </c>
      <c r="E11" s="171">
        <f>SUM(E13)</f>
        <v>92417.3</v>
      </c>
      <c r="F11" s="171">
        <f>G11+H11</f>
        <v>92417.3</v>
      </c>
      <c r="G11" s="171">
        <f>SUM(G13)</f>
        <v>1300</v>
      </c>
      <c r="H11" s="171">
        <f>SUM(H13)</f>
        <v>91117.3</v>
      </c>
      <c r="I11" s="171">
        <f>SUM(I13)</f>
        <v>0</v>
      </c>
      <c r="J11" s="171">
        <f>SUM(J13)</f>
        <v>0</v>
      </c>
      <c r="K11" s="179">
        <f>K13</f>
        <v>0</v>
      </c>
    </row>
    <row r="12" spans="1:11" s="164" customFormat="1" ht="15.75" customHeight="1">
      <c r="A12" s="180"/>
      <c r="B12" s="169"/>
      <c r="C12" s="174">
        <f>E12/E11</f>
        <v>1</v>
      </c>
      <c r="D12" s="171">
        <f>D14</f>
        <v>92417.3</v>
      </c>
      <c r="E12" s="171">
        <f aca="true" t="shared" si="0" ref="E12:K12">E14</f>
        <v>92417.3</v>
      </c>
      <c r="F12" s="171">
        <f>G12+H12</f>
        <v>92417.3</v>
      </c>
      <c r="G12" s="171">
        <f t="shared" si="0"/>
        <v>1300</v>
      </c>
      <c r="H12" s="171">
        <f t="shared" si="0"/>
        <v>91117.3</v>
      </c>
      <c r="I12" s="171">
        <f t="shared" si="0"/>
        <v>0</v>
      </c>
      <c r="J12" s="171">
        <f t="shared" si="0"/>
        <v>0</v>
      </c>
      <c r="K12" s="179">
        <f t="shared" si="0"/>
        <v>0</v>
      </c>
    </row>
    <row r="13" spans="1:11" s="164" customFormat="1" ht="15.75" customHeight="1">
      <c r="A13" s="181"/>
      <c r="B13" s="173" t="s">
        <v>8</v>
      </c>
      <c r="C13" s="166" t="s">
        <v>54</v>
      </c>
      <c r="D13" s="167">
        <v>92417.3</v>
      </c>
      <c r="E13" s="167">
        <f>F13+I13+J13</f>
        <v>92417.3</v>
      </c>
      <c r="F13" s="168">
        <f>G13+H13</f>
        <v>92417.3</v>
      </c>
      <c r="G13" s="168">
        <v>1300</v>
      </c>
      <c r="H13" s="168">
        <v>91117.3</v>
      </c>
      <c r="I13" s="168">
        <v>0</v>
      </c>
      <c r="J13" s="168">
        <v>0</v>
      </c>
      <c r="K13" s="182">
        <f>E13-F13</f>
        <v>0</v>
      </c>
    </row>
    <row r="14" spans="1:11" s="164" customFormat="1" ht="15.75" customHeight="1">
      <c r="A14" s="244" t="s">
        <v>275</v>
      </c>
      <c r="B14" s="245"/>
      <c r="C14" s="175">
        <f>E14/E13</f>
        <v>1</v>
      </c>
      <c r="D14" s="167">
        <v>92417.3</v>
      </c>
      <c r="E14" s="167">
        <f>F14+I14+J14</f>
        <v>92417.3</v>
      </c>
      <c r="F14" s="168">
        <f>G14+H14</f>
        <v>92417.3</v>
      </c>
      <c r="G14" s="167">
        <v>1300</v>
      </c>
      <c r="H14" s="167">
        <v>91117.3</v>
      </c>
      <c r="I14" s="167">
        <v>0</v>
      </c>
      <c r="J14" s="167">
        <v>0</v>
      </c>
      <c r="K14" s="182">
        <v>0</v>
      </c>
    </row>
    <row r="15" spans="1:11" s="164" customFormat="1" ht="15.75" customHeight="1">
      <c r="A15" s="180" t="s">
        <v>19</v>
      </c>
      <c r="B15" s="169"/>
      <c r="C15" s="170" t="s">
        <v>18</v>
      </c>
      <c r="D15" s="171">
        <f>SUM(D17)</f>
        <v>67800</v>
      </c>
      <c r="E15" s="171">
        <f aca="true" t="shared" si="1" ref="E15:J15">SUM(E17)</f>
        <v>67800</v>
      </c>
      <c r="F15" s="171">
        <f t="shared" si="1"/>
        <v>67800</v>
      </c>
      <c r="G15" s="171">
        <f t="shared" si="1"/>
        <v>53000</v>
      </c>
      <c r="H15" s="171">
        <f t="shared" si="1"/>
        <v>14800</v>
      </c>
      <c r="I15" s="171">
        <f t="shared" si="1"/>
        <v>0</v>
      </c>
      <c r="J15" s="171">
        <f t="shared" si="1"/>
        <v>0</v>
      </c>
      <c r="K15" s="179">
        <f>K17</f>
        <v>0</v>
      </c>
    </row>
    <row r="16" spans="1:11" s="164" customFormat="1" ht="15.75" customHeight="1">
      <c r="A16" s="180"/>
      <c r="B16" s="169"/>
      <c r="C16" s="174">
        <f>E16/E15</f>
        <v>0.5073286135693216</v>
      </c>
      <c r="D16" s="171">
        <f>D18</f>
        <v>36632</v>
      </c>
      <c r="E16" s="171">
        <f aca="true" t="shared" si="2" ref="E16:K16">E18</f>
        <v>34396.880000000005</v>
      </c>
      <c r="F16" s="171">
        <f t="shared" si="2"/>
        <v>34396.880000000005</v>
      </c>
      <c r="G16" s="171">
        <f t="shared" si="2"/>
        <v>27620.13</v>
      </c>
      <c r="H16" s="171">
        <f t="shared" si="2"/>
        <v>6776.75</v>
      </c>
      <c r="I16" s="171">
        <f t="shared" si="2"/>
        <v>0</v>
      </c>
      <c r="J16" s="171">
        <f t="shared" si="2"/>
        <v>0</v>
      </c>
      <c r="K16" s="179">
        <f t="shared" si="2"/>
        <v>0</v>
      </c>
    </row>
    <row r="17" spans="1:11" s="164" customFormat="1" ht="15.75" customHeight="1">
      <c r="A17" s="181"/>
      <c r="B17" s="165" t="s">
        <v>553</v>
      </c>
      <c r="C17" s="166" t="s">
        <v>554</v>
      </c>
      <c r="D17" s="167">
        <v>67800</v>
      </c>
      <c r="E17" s="167">
        <f>F17+I17+J17</f>
        <v>67800</v>
      </c>
      <c r="F17" s="168">
        <v>67800</v>
      </c>
      <c r="G17" s="168">
        <v>53000</v>
      </c>
      <c r="H17" s="168">
        <v>14800</v>
      </c>
      <c r="I17" s="168">
        <v>0</v>
      </c>
      <c r="J17" s="168">
        <v>0</v>
      </c>
      <c r="K17" s="182">
        <f>E17-F17</f>
        <v>0</v>
      </c>
    </row>
    <row r="18" spans="1:11" s="164" customFormat="1" ht="15.75" customHeight="1">
      <c r="A18" s="244" t="s">
        <v>275</v>
      </c>
      <c r="B18" s="245"/>
      <c r="C18" s="175">
        <f>E18/E17</f>
        <v>0.5073286135693216</v>
      </c>
      <c r="D18" s="167">
        <v>36632</v>
      </c>
      <c r="E18" s="167">
        <f>F18+I18+J18</f>
        <v>34396.880000000005</v>
      </c>
      <c r="F18" s="167">
        <f>G18+H18</f>
        <v>34396.880000000005</v>
      </c>
      <c r="G18" s="167">
        <v>27620.13</v>
      </c>
      <c r="H18" s="167">
        <v>6776.75</v>
      </c>
      <c r="I18" s="167">
        <v>0</v>
      </c>
      <c r="J18" s="167">
        <v>0</v>
      </c>
      <c r="K18" s="182">
        <v>0</v>
      </c>
    </row>
    <row r="19" spans="1:11" s="164" customFormat="1" ht="39" customHeight="1">
      <c r="A19" s="180" t="s">
        <v>35</v>
      </c>
      <c r="B19" s="169"/>
      <c r="C19" s="170" t="s">
        <v>559</v>
      </c>
      <c r="D19" s="171">
        <f>D21+D23</f>
        <v>11500</v>
      </c>
      <c r="E19" s="171">
        <f aca="true" t="shared" si="3" ref="E19:K20">E21+E23</f>
        <v>11500</v>
      </c>
      <c r="F19" s="171">
        <f t="shared" si="3"/>
        <v>11500</v>
      </c>
      <c r="G19" s="171">
        <f t="shared" si="3"/>
        <v>2214.52</v>
      </c>
      <c r="H19" s="171">
        <f t="shared" si="3"/>
        <v>9285.48</v>
      </c>
      <c r="I19" s="171">
        <f t="shared" si="3"/>
        <v>0</v>
      </c>
      <c r="J19" s="171">
        <f t="shared" si="3"/>
        <v>0</v>
      </c>
      <c r="K19" s="179">
        <f t="shared" si="3"/>
        <v>0</v>
      </c>
    </row>
    <row r="20" spans="1:11" s="164" customFormat="1" ht="15.75" customHeight="1">
      <c r="A20" s="180"/>
      <c r="B20" s="169"/>
      <c r="C20" s="174">
        <f>E20/E19</f>
        <v>0.55384</v>
      </c>
      <c r="D20" s="171">
        <f>D22+D24</f>
        <v>11080</v>
      </c>
      <c r="E20" s="171">
        <f t="shared" si="3"/>
        <v>6369.16</v>
      </c>
      <c r="F20" s="171">
        <f t="shared" si="3"/>
        <v>6369.16</v>
      </c>
      <c r="G20" s="171">
        <f t="shared" si="3"/>
        <v>1730.68</v>
      </c>
      <c r="H20" s="171">
        <f t="shared" si="3"/>
        <v>4638.48</v>
      </c>
      <c r="I20" s="171">
        <f t="shared" si="3"/>
        <v>0</v>
      </c>
      <c r="J20" s="171">
        <f t="shared" si="3"/>
        <v>0</v>
      </c>
      <c r="K20" s="179">
        <f t="shared" si="3"/>
        <v>0</v>
      </c>
    </row>
    <row r="21" spans="1:11" s="164" customFormat="1" ht="15.75" customHeight="1">
      <c r="A21" s="181"/>
      <c r="B21" s="165" t="s">
        <v>165</v>
      </c>
      <c r="C21" s="166" t="s">
        <v>560</v>
      </c>
      <c r="D21" s="167" t="s">
        <v>645</v>
      </c>
      <c r="E21" s="167">
        <f>F21+I21+J21</f>
        <v>840</v>
      </c>
      <c r="F21" s="168">
        <v>840</v>
      </c>
      <c r="G21" s="168">
        <v>383</v>
      </c>
      <c r="H21" s="168">
        <v>457</v>
      </c>
      <c r="I21" s="168">
        <v>0</v>
      </c>
      <c r="J21" s="168">
        <v>0</v>
      </c>
      <c r="K21" s="182">
        <f>E21-F21</f>
        <v>0</v>
      </c>
    </row>
    <row r="22" spans="1:11" s="164" customFormat="1" ht="15.75" customHeight="1">
      <c r="A22" s="244" t="s">
        <v>275</v>
      </c>
      <c r="B22" s="245"/>
      <c r="C22" s="175">
        <f>E22/E21</f>
        <v>0.21923809523809523</v>
      </c>
      <c r="D22" s="167">
        <v>420</v>
      </c>
      <c r="E22" s="167">
        <f>F22+I22+J22</f>
        <v>184.16</v>
      </c>
      <c r="F22" s="168">
        <f>G22+H22</f>
        <v>184.16</v>
      </c>
      <c r="G22" s="168">
        <v>184.16</v>
      </c>
      <c r="H22" s="168">
        <v>0</v>
      </c>
      <c r="I22" s="168">
        <v>0</v>
      </c>
      <c r="J22" s="168">
        <v>0</v>
      </c>
      <c r="K22" s="182">
        <v>0</v>
      </c>
    </row>
    <row r="23" spans="1:11" s="164" customFormat="1" ht="15.75" customHeight="1">
      <c r="A23" s="181"/>
      <c r="B23" s="165">
        <v>75107</v>
      </c>
      <c r="C23" s="166" t="s">
        <v>273</v>
      </c>
      <c r="D23" s="167">
        <v>10660</v>
      </c>
      <c r="E23" s="167">
        <f>F23+I23+J23</f>
        <v>10660</v>
      </c>
      <c r="F23" s="168">
        <f>G23+H23</f>
        <v>10660</v>
      </c>
      <c r="G23" s="168">
        <v>1831.52</v>
      </c>
      <c r="H23" s="168">
        <v>8828.48</v>
      </c>
      <c r="I23" s="168">
        <v>0</v>
      </c>
      <c r="J23" s="168">
        <v>0</v>
      </c>
      <c r="K23" s="182">
        <f>E23-F23</f>
        <v>0</v>
      </c>
    </row>
    <row r="24" spans="1:11" s="164" customFormat="1" ht="15.75" customHeight="1">
      <c r="A24" s="244" t="s">
        <v>275</v>
      </c>
      <c r="B24" s="245"/>
      <c r="C24" s="175">
        <f>E24/E23</f>
        <v>0.5802063789868668</v>
      </c>
      <c r="D24" s="167">
        <v>10660</v>
      </c>
      <c r="E24" s="167">
        <f>F24+I24+J24</f>
        <v>6185</v>
      </c>
      <c r="F24" s="168">
        <f>G24+H24</f>
        <v>6185</v>
      </c>
      <c r="G24" s="168">
        <v>1546.52</v>
      </c>
      <c r="H24" s="168">
        <v>4638.48</v>
      </c>
      <c r="I24" s="168">
        <v>0</v>
      </c>
      <c r="J24" s="168">
        <v>0</v>
      </c>
      <c r="K24" s="182">
        <v>0</v>
      </c>
    </row>
    <row r="25" spans="1:11" s="164" customFormat="1" ht="15.75" customHeight="1">
      <c r="A25" s="180" t="s">
        <v>95</v>
      </c>
      <c r="B25" s="169"/>
      <c r="C25" s="170" t="s">
        <v>96</v>
      </c>
      <c r="D25" s="171">
        <f>D27+D29</f>
        <v>1833200</v>
      </c>
      <c r="E25" s="171">
        <f aca="true" t="shared" si="4" ref="E25:K25">E27+E29</f>
        <v>1833200</v>
      </c>
      <c r="F25" s="171">
        <f t="shared" si="4"/>
        <v>98920</v>
      </c>
      <c r="G25" s="171">
        <f t="shared" si="4"/>
        <v>81764</v>
      </c>
      <c r="H25" s="171">
        <f t="shared" si="4"/>
        <v>17156</v>
      </c>
      <c r="I25" s="171">
        <f t="shared" si="4"/>
        <v>1734280</v>
      </c>
      <c r="J25" s="171">
        <f t="shared" si="4"/>
        <v>0</v>
      </c>
      <c r="K25" s="179">
        <f t="shared" si="4"/>
        <v>0</v>
      </c>
    </row>
    <row r="26" spans="1:11" s="164" customFormat="1" ht="15.75" customHeight="1">
      <c r="A26" s="180"/>
      <c r="B26" s="169"/>
      <c r="C26" s="174">
        <f>E26/E25</f>
        <v>0.5061218197687105</v>
      </c>
      <c r="D26" s="171">
        <f>D28+D30</f>
        <v>961852</v>
      </c>
      <c r="E26" s="171">
        <f aca="true" t="shared" si="5" ref="E26:K26">E28+E30</f>
        <v>927822.52</v>
      </c>
      <c r="F26" s="171">
        <f t="shared" si="5"/>
        <v>49583.97</v>
      </c>
      <c r="G26" s="171">
        <f t="shared" si="5"/>
        <v>40311.98</v>
      </c>
      <c r="H26" s="171">
        <f t="shared" si="5"/>
        <v>9271.990000000002</v>
      </c>
      <c r="I26" s="171">
        <f t="shared" si="5"/>
        <v>878238.55</v>
      </c>
      <c r="J26" s="171">
        <f t="shared" si="5"/>
        <v>0</v>
      </c>
      <c r="K26" s="179">
        <f t="shared" si="5"/>
        <v>0</v>
      </c>
    </row>
    <row r="27" spans="1:11" s="164" customFormat="1" ht="54.75" customHeight="1">
      <c r="A27" s="181"/>
      <c r="B27" s="165" t="s">
        <v>179</v>
      </c>
      <c r="C27" s="166" t="s">
        <v>274</v>
      </c>
      <c r="D27" s="167">
        <v>1824000</v>
      </c>
      <c r="E27" s="167">
        <f>F27+I27+J27</f>
        <v>1824000</v>
      </c>
      <c r="F27" s="168">
        <f>G27+H27</f>
        <v>89720</v>
      </c>
      <c r="G27" s="168">
        <v>81764</v>
      </c>
      <c r="H27" s="168">
        <v>7956</v>
      </c>
      <c r="I27" s="168">
        <v>1734280</v>
      </c>
      <c r="J27" s="168">
        <v>0</v>
      </c>
      <c r="K27" s="182">
        <v>0</v>
      </c>
    </row>
    <row r="28" spans="1:11" s="164" customFormat="1" ht="15.75">
      <c r="A28" s="244" t="s">
        <v>275</v>
      </c>
      <c r="B28" s="245"/>
      <c r="C28" s="175">
        <f>E28/E27</f>
        <v>0.5061858114035088</v>
      </c>
      <c r="D28" s="167">
        <v>957234</v>
      </c>
      <c r="E28" s="167">
        <f>F28+I28+J28</f>
        <v>923282.92</v>
      </c>
      <c r="F28" s="168">
        <f>G28+H28</f>
        <v>45044.37</v>
      </c>
      <c r="G28" s="168">
        <v>40311.98</v>
      </c>
      <c r="H28" s="168">
        <v>4732.39</v>
      </c>
      <c r="I28" s="168">
        <v>878238.55</v>
      </c>
      <c r="J28" s="168"/>
      <c r="K28" s="182"/>
    </row>
    <row r="29" spans="1:11" s="164" customFormat="1" ht="68.25" customHeight="1">
      <c r="A29" s="181"/>
      <c r="B29" s="165" t="s">
        <v>181</v>
      </c>
      <c r="C29" s="166" t="s">
        <v>585</v>
      </c>
      <c r="D29" s="167">
        <v>9200</v>
      </c>
      <c r="E29" s="167">
        <f>F29+I29+J29</f>
        <v>9200</v>
      </c>
      <c r="F29" s="168">
        <f>G29+H29</f>
        <v>9200</v>
      </c>
      <c r="G29" s="168">
        <v>0</v>
      </c>
      <c r="H29" s="168">
        <v>9200</v>
      </c>
      <c r="I29" s="168" t="s">
        <v>602</v>
      </c>
      <c r="J29" s="168">
        <v>0</v>
      </c>
      <c r="K29" s="182">
        <f>E29-F29</f>
        <v>0</v>
      </c>
    </row>
    <row r="30" spans="1:11" s="164" customFormat="1" ht="15.75">
      <c r="A30" s="244" t="s">
        <v>275</v>
      </c>
      <c r="B30" s="245"/>
      <c r="C30" s="175">
        <f>E30/E29</f>
        <v>0.49343478260869567</v>
      </c>
      <c r="D30" s="167">
        <v>4618</v>
      </c>
      <c r="E30" s="167">
        <f>F30+I30+J30</f>
        <v>4539.6</v>
      </c>
      <c r="F30" s="168">
        <f>G30+H30</f>
        <v>4539.6</v>
      </c>
      <c r="G30" s="168">
        <v>0</v>
      </c>
      <c r="H30" s="168">
        <v>4539.6</v>
      </c>
      <c r="I30" s="168">
        <v>0</v>
      </c>
      <c r="J30" s="168">
        <v>0</v>
      </c>
      <c r="K30" s="182">
        <v>0</v>
      </c>
    </row>
    <row r="31" spans="1:11" s="164" customFormat="1" ht="15.75" customHeight="1">
      <c r="A31" s="238" t="s">
        <v>646</v>
      </c>
      <c r="B31" s="239"/>
      <c r="C31" s="240"/>
      <c r="D31" s="172">
        <f>D15+D19+D25+D11</f>
        <v>2004917.3</v>
      </c>
      <c r="E31" s="172">
        <f aca="true" t="shared" si="6" ref="E31:K31">E15+E19+E25+E11</f>
        <v>2004917.3</v>
      </c>
      <c r="F31" s="172">
        <f t="shared" si="6"/>
        <v>270637.3</v>
      </c>
      <c r="G31" s="172">
        <f t="shared" si="6"/>
        <v>138278.52</v>
      </c>
      <c r="H31" s="172">
        <f t="shared" si="6"/>
        <v>132358.78</v>
      </c>
      <c r="I31" s="172">
        <f t="shared" si="6"/>
        <v>1734280</v>
      </c>
      <c r="J31" s="172">
        <f t="shared" si="6"/>
        <v>0</v>
      </c>
      <c r="K31" s="183">
        <f t="shared" si="6"/>
        <v>0</v>
      </c>
    </row>
    <row r="32" spans="1:11" s="164" customFormat="1" ht="15.75" customHeight="1">
      <c r="A32" s="241" t="s">
        <v>647</v>
      </c>
      <c r="B32" s="242"/>
      <c r="C32" s="243"/>
      <c r="D32" s="184">
        <f>D16+D20+D26+D12</f>
        <v>1101981.3</v>
      </c>
      <c r="E32" s="184">
        <f>E16+E20+E26+E12</f>
        <v>1061005.86</v>
      </c>
      <c r="F32" s="184">
        <f aca="true" t="shared" si="7" ref="F32:K32">F16+F20+F26+F12</f>
        <v>182767.31</v>
      </c>
      <c r="G32" s="184">
        <f t="shared" si="7"/>
        <v>70962.79000000001</v>
      </c>
      <c r="H32" s="184">
        <f t="shared" si="7"/>
        <v>111804.52</v>
      </c>
      <c r="I32" s="184">
        <f t="shared" si="7"/>
        <v>878238.55</v>
      </c>
      <c r="J32" s="184">
        <f t="shared" si="7"/>
        <v>0</v>
      </c>
      <c r="K32" s="185">
        <f t="shared" si="7"/>
        <v>0</v>
      </c>
    </row>
    <row r="33" spans="1:11" ht="15.75" customHeight="1">
      <c r="A33" s="241" t="s">
        <v>648</v>
      </c>
      <c r="B33" s="242"/>
      <c r="C33" s="242"/>
      <c r="D33" s="186">
        <f aca="true" t="shared" si="8" ref="D33:I33">D32/D31</f>
        <v>0.5496392793857383</v>
      </c>
      <c r="E33" s="186">
        <f t="shared" si="8"/>
        <v>0.5292018079748227</v>
      </c>
      <c r="F33" s="186">
        <f t="shared" si="8"/>
        <v>0.6753219530345596</v>
      </c>
      <c r="G33" s="186">
        <f t="shared" si="8"/>
        <v>0.5131873699544949</v>
      </c>
      <c r="H33" s="186">
        <f t="shared" si="8"/>
        <v>0.8447079974596321</v>
      </c>
      <c r="I33" s="186">
        <f t="shared" si="8"/>
        <v>0.5063995144959291</v>
      </c>
      <c r="J33" s="186">
        <v>0</v>
      </c>
      <c r="K33" s="186">
        <v>0</v>
      </c>
    </row>
  </sheetData>
  <sheetProtection/>
  <mergeCells count="24">
    <mergeCell ref="A32:C32"/>
    <mergeCell ref="A33:C33"/>
    <mergeCell ref="A14:B14"/>
    <mergeCell ref="A18:B18"/>
    <mergeCell ref="A22:B22"/>
    <mergeCell ref="A24:B24"/>
    <mergeCell ref="A28:B28"/>
    <mergeCell ref="A30:B30"/>
    <mergeCell ref="F7:F9"/>
    <mergeCell ref="K7:K9"/>
    <mergeCell ref="G8:H8"/>
    <mergeCell ref="I8:I9"/>
    <mergeCell ref="J8:J9"/>
    <mergeCell ref="A31:C31"/>
    <mergeCell ref="A1:G1"/>
    <mergeCell ref="A2:G2"/>
    <mergeCell ref="A3:G3"/>
    <mergeCell ref="B4:C4"/>
    <mergeCell ref="D4:E4"/>
    <mergeCell ref="A6:A9"/>
    <mergeCell ref="B6:B9"/>
    <mergeCell ref="C6:C9"/>
    <mergeCell ref="D6:D9"/>
    <mergeCell ref="E6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3">
      <selection activeCell="K1" sqref="K1:K2"/>
    </sheetView>
  </sheetViews>
  <sheetFormatPr defaultColWidth="9.00390625" defaultRowHeight="12.75"/>
  <cols>
    <col min="1" max="1" width="5.625" style="34" bestFit="1" customWidth="1"/>
    <col min="2" max="2" width="8.875" style="34" bestFit="1" customWidth="1"/>
    <col min="3" max="3" width="14.25390625" style="34" customWidth="1"/>
    <col min="4" max="4" width="14.875" style="34" customWidth="1"/>
    <col min="5" max="5" width="15.00390625" style="34" customWidth="1"/>
    <col min="6" max="7" width="16.75390625" style="34" customWidth="1"/>
    <col min="8" max="9" width="15.00390625" style="34" customWidth="1"/>
    <col min="10" max="10" width="29.125" style="34" customWidth="1"/>
    <col min="11" max="11" width="15.00390625" style="34" customWidth="1"/>
    <col min="12" max="16384" width="9.125" style="2" customWidth="1"/>
  </cols>
  <sheetData>
    <row r="1" spans="1:12" ht="18" customHeight="1">
      <c r="A1" s="246" t="s">
        <v>440</v>
      </c>
      <c r="B1" s="246"/>
      <c r="C1" s="246"/>
      <c r="D1" s="246"/>
      <c r="E1" s="246"/>
      <c r="F1" s="246"/>
      <c r="G1" s="246"/>
      <c r="K1" s="52" t="s">
        <v>649</v>
      </c>
      <c r="L1" s="4"/>
    </row>
    <row r="2" spans="1:11" ht="18" customHeight="1">
      <c r="A2" s="247" t="s">
        <v>441</v>
      </c>
      <c r="B2" s="247"/>
      <c r="C2" s="247"/>
      <c r="D2" s="247"/>
      <c r="E2" s="247"/>
      <c r="F2" s="247"/>
      <c r="G2" s="247"/>
      <c r="H2" s="75"/>
      <c r="I2" s="75"/>
      <c r="J2" s="75"/>
      <c r="K2" s="136" t="s">
        <v>605</v>
      </c>
    </row>
    <row r="3" spans="1:11" ht="18" customHeight="1">
      <c r="A3" s="246" t="s">
        <v>442</v>
      </c>
      <c r="B3" s="246"/>
      <c r="C3" s="246"/>
      <c r="D3" s="246"/>
      <c r="E3" s="246"/>
      <c r="F3" s="246"/>
      <c r="G3" s="246"/>
      <c r="H3" s="76"/>
      <c r="I3" s="76"/>
      <c r="J3" s="76"/>
      <c r="K3" s="52"/>
    </row>
    <row r="4" spans="1:11" ht="12.75" customHeight="1">
      <c r="A4" s="2"/>
      <c r="B4" s="77"/>
      <c r="C4" s="78"/>
      <c r="D4" s="78"/>
      <c r="E4" s="78"/>
      <c r="F4" s="2"/>
      <c r="G4" s="2"/>
      <c r="H4" s="2"/>
      <c r="I4" s="2"/>
      <c r="J4" s="2"/>
      <c r="K4" s="52"/>
    </row>
    <row r="5" spans="5:11" ht="12" customHeight="1" thickBot="1">
      <c r="E5" s="56"/>
      <c r="F5" s="56"/>
      <c r="G5" s="56"/>
      <c r="H5" s="56"/>
      <c r="I5" s="79"/>
      <c r="K5" s="35" t="s">
        <v>200</v>
      </c>
    </row>
    <row r="6" spans="1:11" s="80" customFormat="1" ht="17.25" customHeight="1" thickBot="1">
      <c r="A6" s="248" t="s">
        <v>47</v>
      </c>
      <c r="B6" s="251" t="s">
        <v>51</v>
      </c>
      <c r="C6" s="254" t="s">
        <v>443</v>
      </c>
      <c r="D6" s="257" t="s">
        <v>454</v>
      </c>
      <c r="E6" s="260" t="s">
        <v>444</v>
      </c>
      <c r="F6" s="261"/>
      <c r="G6" s="261"/>
      <c r="H6" s="261"/>
      <c r="I6" s="261"/>
      <c r="J6" s="261"/>
      <c r="K6" s="262"/>
    </row>
    <row r="7" spans="1:11" s="80" customFormat="1" ht="12" customHeight="1">
      <c r="A7" s="249"/>
      <c r="B7" s="252"/>
      <c r="C7" s="255"/>
      <c r="D7" s="258"/>
      <c r="E7" s="263" t="s">
        <v>52</v>
      </c>
      <c r="F7" s="265" t="s">
        <v>444</v>
      </c>
      <c r="G7" s="266"/>
      <c r="H7" s="266"/>
      <c r="I7" s="266"/>
      <c r="J7" s="266"/>
      <c r="K7" s="263" t="s">
        <v>445</v>
      </c>
    </row>
    <row r="8" spans="1:11" s="80" customFormat="1" ht="31.5" customHeight="1">
      <c r="A8" s="249"/>
      <c r="B8" s="252"/>
      <c r="C8" s="255"/>
      <c r="D8" s="258"/>
      <c r="E8" s="263"/>
      <c r="F8" s="267" t="s">
        <v>446</v>
      </c>
      <c r="G8" s="268"/>
      <c r="H8" s="269" t="s">
        <v>447</v>
      </c>
      <c r="I8" s="269" t="s">
        <v>448</v>
      </c>
      <c r="J8" s="269" t="s">
        <v>449</v>
      </c>
      <c r="K8" s="263"/>
    </row>
    <row r="9" spans="1:11" s="4" customFormat="1" ht="135" customHeight="1" thickBot="1">
      <c r="A9" s="250"/>
      <c r="B9" s="253"/>
      <c r="C9" s="256"/>
      <c r="D9" s="259"/>
      <c r="E9" s="264"/>
      <c r="F9" s="81" t="s">
        <v>450</v>
      </c>
      <c r="G9" s="82" t="s">
        <v>451</v>
      </c>
      <c r="H9" s="270"/>
      <c r="I9" s="270"/>
      <c r="J9" s="270"/>
      <c r="K9" s="264"/>
    </row>
    <row r="10" spans="1:11" ht="11.25" customHeight="1">
      <c r="A10" s="83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3">
        <v>8</v>
      </c>
      <c r="I10" s="83">
        <v>9</v>
      </c>
      <c r="J10" s="83">
        <v>10</v>
      </c>
      <c r="K10" s="83">
        <v>11</v>
      </c>
    </row>
    <row r="11" spans="1:11" ht="19.5" customHeight="1">
      <c r="A11" s="45">
        <v>600</v>
      </c>
      <c r="B11" s="45">
        <v>60013</v>
      </c>
      <c r="C11" s="39">
        <v>0</v>
      </c>
      <c r="D11" s="39">
        <f>E11+K11</f>
        <v>100000</v>
      </c>
      <c r="E11" s="84">
        <f aca="true" t="shared" si="0" ref="E11:E16">SUM(F11:J11)</f>
        <v>0</v>
      </c>
      <c r="F11" s="84"/>
      <c r="G11" s="84"/>
      <c r="H11" s="84"/>
      <c r="I11" s="84"/>
      <c r="J11" s="84"/>
      <c r="K11" s="84">
        <v>100000</v>
      </c>
    </row>
    <row r="12" spans="1:11" ht="19.5" customHeight="1">
      <c r="A12" s="244" t="s">
        <v>275</v>
      </c>
      <c r="B12" s="245"/>
      <c r="C12" s="39"/>
      <c r="D12" s="39">
        <f>E12+K12</f>
        <v>0</v>
      </c>
      <c r="E12" s="84">
        <f t="shared" si="0"/>
        <v>0</v>
      </c>
      <c r="F12" s="84"/>
      <c r="G12" s="84"/>
      <c r="H12" s="84"/>
      <c r="I12" s="84"/>
      <c r="J12" s="84"/>
      <c r="K12" s="84">
        <v>0</v>
      </c>
    </row>
    <row r="13" spans="1:11" ht="19.5" customHeight="1">
      <c r="A13" s="45">
        <v>600</v>
      </c>
      <c r="B13" s="45">
        <v>60014</v>
      </c>
      <c r="C13" s="39">
        <v>0</v>
      </c>
      <c r="D13" s="39">
        <f>E13+K13</f>
        <v>445200</v>
      </c>
      <c r="E13" s="84">
        <f t="shared" si="0"/>
        <v>0</v>
      </c>
      <c r="F13" s="84"/>
      <c r="G13" s="84"/>
      <c r="H13" s="84"/>
      <c r="I13" s="84"/>
      <c r="J13" s="84"/>
      <c r="K13" s="84">
        <f>445200</f>
        <v>445200</v>
      </c>
    </row>
    <row r="14" spans="1:11" ht="19.5" customHeight="1">
      <c r="A14" s="244" t="s">
        <v>275</v>
      </c>
      <c r="B14" s="245"/>
      <c r="C14" s="39"/>
      <c r="D14" s="39">
        <f>E14+K14</f>
        <v>196.92</v>
      </c>
      <c r="E14" s="84">
        <f t="shared" si="0"/>
        <v>0</v>
      </c>
      <c r="F14" s="84"/>
      <c r="G14" s="84"/>
      <c r="H14" s="84"/>
      <c r="I14" s="84"/>
      <c r="J14" s="84"/>
      <c r="K14" s="84">
        <v>196.92</v>
      </c>
    </row>
    <row r="15" spans="1:11" ht="19.5" customHeight="1">
      <c r="A15" s="45">
        <v>803</v>
      </c>
      <c r="B15" s="45">
        <v>80395</v>
      </c>
      <c r="C15" s="39">
        <v>0</v>
      </c>
      <c r="D15" s="39">
        <v>50000</v>
      </c>
      <c r="E15" s="84">
        <f t="shared" si="0"/>
        <v>50000</v>
      </c>
      <c r="F15" s="84"/>
      <c r="G15" s="84"/>
      <c r="H15" s="84">
        <v>50000</v>
      </c>
      <c r="I15" s="84"/>
      <c r="J15" s="84"/>
      <c r="K15" s="84">
        <v>0</v>
      </c>
    </row>
    <row r="16" spans="1:11" ht="19.5" customHeight="1">
      <c r="A16" s="244" t="s">
        <v>275</v>
      </c>
      <c r="B16" s="245"/>
      <c r="C16" s="39"/>
      <c r="D16" s="39">
        <f>E16+K16</f>
        <v>0</v>
      </c>
      <c r="E16" s="84">
        <f t="shared" si="0"/>
        <v>0</v>
      </c>
      <c r="F16" s="84"/>
      <c r="G16" s="84"/>
      <c r="H16" s="84">
        <v>0</v>
      </c>
      <c r="I16" s="84"/>
      <c r="J16" s="84"/>
      <c r="K16" s="84"/>
    </row>
    <row r="17" spans="1:11" ht="19.5" customHeight="1">
      <c r="A17" s="271" t="s">
        <v>452</v>
      </c>
      <c r="B17" s="271"/>
      <c r="C17" s="271"/>
      <c r="D17" s="42">
        <f>D11+D13+D15</f>
        <v>595200</v>
      </c>
      <c r="E17" s="42">
        <f aca="true" t="shared" si="1" ref="E17:K17">E11+E13+E15</f>
        <v>50000</v>
      </c>
      <c r="F17" s="42">
        <f t="shared" si="1"/>
        <v>0</v>
      </c>
      <c r="G17" s="42">
        <f t="shared" si="1"/>
        <v>0</v>
      </c>
      <c r="H17" s="42">
        <f t="shared" si="1"/>
        <v>50000</v>
      </c>
      <c r="I17" s="42">
        <f t="shared" si="1"/>
        <v>0</v>
      </c>
      <c r="J17" s="42">
        <f t="shared" si="1"/>
        <v>0</v>
      </c>
      <c r="K17" s="42">
        <f t="shared" si="1"/>
        <v>545200</v>
      </c>
    </row>
    <row r="18" spans="1:11" ht="19.5" customHeight="1">
      <c r="A18" s="271" t="s">
        <v>453</v>
      </c>
      <c r="B18" s="271"/>
      <c r="C18" s="271"/>
      <c r="D18" s="42">
        <f>D12+D14+D16</f>
        <v>196.92</v>
      </c>
      <c r="E18" s="42">
        <f aca="true" t="shared" si="2" ref="E18:K18">E12+E14+E16</f>
        <v>0</v>
      </c>
      <c r="F18" s="42">
        <f t="shared" si="2"/>
        <v>0</v>
      </c>
      <c r="G18" s="42">
        <f t="shared" si="2"/>
        <v>0</v>
      </c>
      <c r="H18" s="42">
        <f t="shared" si="2"/>
        <v>0</v>
      </c>
      <c r="I18" s="42">
        <f t="shared" si="2"/>
        <v>0</v>
      </c>
      <c r="J18" s="42">
        <f t="shared" si="2"/>
        <v>0</v>
      </c>
      <c r="K18" s="42">
        <f t="shared" si="2"/>
        <v>196.92</v>
      </c>
    </row>
    <row r="19" spans="1:8" ht="12.75">
      <c r="A19" s="272"/>
      <c r="B19" s="272"/>
      <c r="C19" s="272"/>
      <c r="D19" s="272"/>
      <c r="E19" s="272"/>
      <c r="F19" s="272"/>
      <c r="G19" s="272"/>
      <c r="H19" s="85"/>
    </row>
    <row r="20" spans="1:8" ht="12.75">
      <c r="A20" s="272"/>
      <c r="B20" s="272"/>
      <c r="C20" s="272"/>
      <c r="D20" s="272"/>
      <c r="E20" s="272"/>
      <c r="F20" s="272"/>
      <c r="G20" s="272"/>
      <c r="H20" s="85"/>
    </row>
  </sheetData>
  <sheetProtection/>
  <mergeCells count="22">
    <mergeCell ref="A19:G19"/>
    <mergeCell ref="A20:G20"/>
    <mergeCell ref="A18:C18"/>
    <mergeCell ref="A12:B12"/>
    <mergeCell ref="A14:B14"/>
    <mergeCell ref="A16:B16"/>
    <mergeCell ref="K7:K9"/>
    <mergeCell ref="F8:G8"/>
    <mergeCell ref="H8:H9"/>
    <mergeCell ref="I8:I9"/>
    <mergeCell ref="J8:J9"/>
    <mergeCell ref="A17:C17"/>
    <mergeCell ref="A1:G1"/>
    <mergeCell ref="A2:G2"/>
    <mergeCell ref="A3:G3"/>
    <mergeCell ref="A6:A9"/>
    <mergeCell ref="B6:B9"/>
    <mergeCell ref="C6:C9"/>
    <mergeCell ref="D6:D9"/>
    <mergeCell ref="E6:K6"/>
    <mergeCell ref="E7:E9"/>
    <mergeCell ref="F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32">
      <selection activeCell="G50" sqref="A1:G50"/>
    </sheetView>
  </sheetViews>
  <sheetFormatPr defaultColWidth="9.00390625" defaultRowHeight="12.75"/>
  <cols>
    <col min="3" max="3" width="42.00390625" style="0" customWidth="1"/>
    <col min="4" max="4" width="11.75390625" style="0" bestFit="1" customWidth="1"/>
    <col min="5" max="6" width="10.125" style="0" bestFit="1" customWidth="1"/>
    <col min="7" max="7" width="10.625" style="0" customWidth="1"/>
  </cols>
  <sheetData>
    <row r="1" ht="15.75">
      <c r="G1" s="136" t="s">
        <v>455</v>
      </c>
    </row>
    <row r="2" spans="1:7" ht="18">
      <c r="A2" s="273" t="s">
        <v>456</v>
      </c>
      <c r="B2" s="273"/>
      <c r="C2" s="273"/>
      <c r="F2" s="86"/>
      <c r="G2" s="136" t="s">
        <v>605</v>
      </c>
    </row>
    <row r="3" spans="1:6" ht="18">
      <c r="A3" s="273" t="s">
        <v>457</v>
      </c>
      <c r="B3" s="273"/>
      <c r="C3" s="273"/>
      <c r="F3" s="9"/>
    </row>
    <row r="4" spans="1:6" ht="18">
      <c r="A4" s="273" t="s">
        <v>458</v>
      </c>
      <c r="B4" s="273"/>
      <c r="C4" s="273"/>
      <c r="F4" s="9"/>
    </row>
    <row r="6" ht="12.75">
      <c r="G6" s="9" t="s">
        <v>276</v>
      </c>
    </row>
    <row r="7" spans="1:7" ht="25.5">
      <c r="A7" s="274" t="s">
        <v>47</v>
      </c>
      <c r="B7" s="274" t="s">
        <v>51</v>
      </c>
      <c r="C7" s="275" t="s">
        <v>459</v>
      </c>
      <c r="D7" s="87" t="s">
        <v>460</v>
      </c>
      <c r="E7" s="276" t="s">
        <v>444</v>
      </c>
      <c r="F7" s="277"/>
      <c r="G7" s="98" t="s">
        <v>70</v>
      </c>
    </row>
    <row r="8" spans="1:7" ht="25.5">
      <c r="A8" s="274"/>
      <c r="B8" s="274"/>
      <c r="C8" s="275"/>
      <c r="D8" s="88" t="s">
        <v>461</v>
      </c>
      <c r="E8" s="87" t="s">
        <v>462</v>
      </c>
      <c r="F8" s="87" t="s">
        <v>463</v>
      </c>
      <c r="G8" s="99" t="s">
        <v>495</v>
      </c>
    </row>
    <row r="9" spans="1:7" ht="12.75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89">
        <v>7</v>
      </c>
    </row>
    <row r="10" spans="1:7" ht="12.75">
      <c r="A10" s="278" t="s">
        <v>464</v>
      </c>
      <c r="B10" s="279"/>
      <c r="C10" s="280"/>
      <c r="D10" s="90">
        <f>E10+F10</f>
        <v>70000</v>
      </c>
      <c r="E10" s="90">
        <f>SUM(E11:E12)</f>
        <v>20419.239999999998</v>
      </c>
      <c r="F10" s="90">
        <f>SUM(F11:F12)</f>
        <v>49580.76</v>
      </c>
      <c r="G10" s="90">
        <f>SUM(G11:G12)</f>
        <v>0</v>
      </c>
    </row>
    <row r="11" spans="1:7" ht="12.75">
      <c r="A11" s="91">
        <v>900</v>
      </c>
      <c r="B11" s="91">
        <v>90095</v>
      </c>
      <c r="C11" s="1" t="s">
        <v>465</v>
      </c>
      <c r="D11" s="92">
        <f>E11+F11</f>
        <v>58195</v>
      </c>
      <c r="E11" s="92">
        <v>8614.24</v>
      </c>
      <c r="F11" s="92">
        <v>49580.76</v>
      </c>
      <c r="G11" s="92"/>
    </row>
    <row r="12" spans="1:7" ht="12.75">
      <c r="A12" s="91">
        <v>900</v>
      </c>
      <c r="B12" s="91">
        <v>90095</v>
      </c>
      <c r="C12" s="93" t="s">
        <v>466</v>
      </c>
      <c r="D12" s="92">
        <f>E12+F12</f>
        <v>11805</v>
      </c>
      <c r="E12" s="92">
        <f>74.7*150+600</f>
        <v>11805</v>
      </c>
      <c r="F12" s="92">
        <v>0</v>
      </c>
      <c r="G12" s="92"/>
    </row>
    <row r="13" spans="1:7" ht="12.75">
      <c r="A13" s="278" t="s">
        <v>467</v>
      </c>
      <c r="B13" s="279"/>
      <c r="C13" s="280"/>
      <c r="D13" s="90">
        <f>SUM(D14)</f>
        <v>70000</v>
      </c>
      <c r="E13" s="90">
        <f>E14</f>
        <v>27767.56</v>
      </c>
      <c r="F13" s="90">
        <f>F14</f>
        <v>42232.44</v>
      </c>
      <c r="G13" s="90">
        <f>G14</f>
        <v>0</v>
      </c>
    </row>
    <row r="14" spans="1:7" ht="12.75">
      <c r="A14" s="91">
        <v>900</v>
      </c>
      <c r="B14" s="91">
        <v>90095</v>
      </c>
      <c r="C14" s="1" t="s">
        <v>465</v>
      </c>
      <c r="D14" s="92">
        <f>E14+F14</f>
        <v>70000</v>
      </c>
      <c r="E14" s="92">
        <v>27767.56</v>
      </c>
      <c r="F14" s="92">
        <v>42232.44</v>
      </c>
      <c r="G14" s="92"/>
    </row>
    <row r="15" spans="1:7" ht="12.75">
      <c r="A15" s="278" t="s">
        <v>468</v>
      </c>
      <c r="B15" s="279"/>
      <c r="C15" s="280"/>
      <c r="D15" s="90">
        <f>E15+F15</f>
        <v>70000</v>
      </c>
      <c r="E15" s="90">
        <f>E16</f>
        <v>22955.38</v>
      </c>
      <c r="F15" s="90">
        <f>F16</f>
        <v>47044.62</v>
      </c>
      <c r="G15" s="90">
        <f>G16</f>
        <v>0</v>
      </c>
    </row>
    <row r="16" spans="1:7" ht="12.75">
      <c r="A16" s="91">
        <v>900</v>
      </c>
      <c r="B16" s="91">
        <v>90095</v>
      </c>
      <c r="C16" s="1" t="s">
        <v>465</v>
      </c>
      <c r="D16" s="92">
        <f>E16+F16</f>
        <v>70000</v>
      </c>
      <c r="E16" s="92">
        <v>22955.38</v>
      </c>
      <c r="F16" s="92">
        <v>47044.62</v>
      </c>
      <c r="G16" s="92"/>
    </row>
    <row r="17" spans="1:7" ht="12.75">
      <c r="A17" s="278" t="s">
        <v>469</v>
      </c>
      <c r="B17" s="279"/>
      <c r="C17" s="280"/>
      <c r="D17" s="90">
        <f>SUM(D18:D19)</f>
        <v>100000</v>
      </c>
      <c r="E17" s="90">
        <f>SUM(E18:E19)</f>
        <v>65029.42</v>
      </c>
      <c r="F17" s="90">
        <f>SUM(F18:F19)</f>
        <v>34970.58</v>
      </c>
      <c r="G17" s="90">
        <f>SUM(G18:G19)</f>
        <v>0</v>
      </c>
    </row>
    <row r="18" spans="1:7" ht="12.75">
      <c r="A18" s="91">
        <v>801</v>
      </c>
      <c r="B18" s="91">
        <v>80104</v>
      </c>
      <c r="C18" s="94" t="s">
        <v>470</v>
      </c>
      <c r="D18" s="92">
        <f>E18+F18</f>
        <v>50000</v>
      </c>
      <c r="E18" s="92">
        <f>24772+257.42</f>
        <v>25029.42</v>
      </c>
      <c r="F18" s="92">
        <f>25228-257.42</f>
        <v>24970.58</v>
      </c>
      <c r="G18" s="92"/>
    </row>
    <row r="19" spans="1:7" ht="12.75" customHeight="1">
      <c r="A19" s="91">
        <v>900</v>
      </c>
      <c r="B19" s="91">
        <v>90095</v>
      </c>
      <c r="C19" s="94" t="s">
        <v>471</v>
      </c>
      <c r="D19" s="92">
        <f>E19+F19</f>
        <v>50000</v>
      </c>
      <c r="E19" s="92">
        <v>40000</v>
      </c>
      <c r="F19" s="92">
        <v>10000</v>
      </c>
      <c r="G19" s="92"/>
    </row>
    <row r="20" spans="1:7" ht="12.75">
      <c r="A20" s="278" t="s">
        <v>472</v>
      </c>
      <c r="B20" s="279"/>
      <c r="C20" s="280"/>
      <c r="D20" s="90">
        <f>SUM(D21:D22)</f>
        <v>80000</v>
      </c>
      <c r="E20" s="90">
        <f>SUM(E21:E22)</f>
        <v>28352.83</v>
      </c>
      <c r="F20" s="90">
        <f>SUM(F21:F22)</f>
        <v>51647.17</v>
      </c>
      <c r="G20" s="90">
        <f>SUM(G21:G22)</f>
        <v>0</v>
      </c>
    </row>
    <row r="21" spans="1:7" ht="12.75">
      <c r="A21" s="91">
        <v>900</v>
      </c>
      <c r="B21" s="91">
        <v>90095</v>
      </c>
      <c r="C21" s="1" t="s">
        <v>473</v>
      </c>
      <c r="D21" s="92">
        <f>E21+F21</f>
        <v>40000</v>
      </c>
      <c r="E21" s="92">
        <v>16852.83</v>
      </c>
      <c r="F21" s="92">
        <v>23147.17</v>
      </c>
      <c r="G21" s="92"/>
    </row>
    <row r="22" spans="1:7" ht="12.75">
      <c r="A22" s="91">
        <v>900</v>
      </c>
      <c r="B22" s="91">
        <v>90095</v>
      </c>
      <c r="C22" s="1" t="s">
        <v>465</v>
      </c>
      <c r="D22" s="92">
        <f>E22+F22</f>
        <v>40000</v>
      </c>
      <c r="E22" s="92">
        <v>11500</v>
      </c>
      <c r="F22" s="92">
        <v>28500</v>
      </c>
      <c r="G22" s="92"/>
    </row>
    <row r="23" spans="1:7" ht="12.75">
      <c r="A23" s="278" t="s">
        <v>474</v>
      </c>
      <c r="B23" s="279"/>
      <c r="C23" s="280"/>
      <c r="D23" s="90">
        <f>SUM(D24:D25)</f>
        <v>80000</v>
      </c>
      <c r="E23" s="90">
        <f>SUM(E24:E25)</f>
        <v>21524.739999999998</v>
      </c>
      <c r="F23" s="90">
        <f>SUM(F24:F25)</f>
        <v>58475.26</v>
      </c>
      <c r="G23" s="90">
        <f>SUM(G24:G25)</f>
        <v>0</v>
      </c>
    </row>
    <row r="24" spans="1:7" ht="12.75">
      <c r="A24" s="91">
        <v>900</v>
      </c>
      <c r="B24" s="91">
        <v>90095</v>
      </c>
      <c r="C24" s="1" t="s">
        <v>473</v>
      </c>
      <c r="D24" s="92">
        <f>E24+F24</f>
        <v>20000</v>
      </c>
      <c r="E24" s="92">
        <v>10000</v>
      </c>
      <c r="F24" s="92">
        <v>10000</v>
      </c>
      <c r="G24" s="92"/>
    </row>
    <row r="25" spans="1:7" ht="12.75">
      <c r="A25" s="91">
        <v>900</v>
      </c>
      <c r="B25" s="91">
        <v>90095</v>
      </c>
      <c r="C25" s="1" t="s">
        <v>465</v>
      </c>
      <c r="D25" s="92">
        <f>E25+F25</f>
        <v>60000</v>
      </c>
      <c r="E25" s="92">
        <v>11524.74</v>
      </c>
      <c r="F25" s="92">
        <v>48475.26</v>
      </c>
      <c r="G25" s="92"/>
    </row>
    <row r="26" spans="1:7" ht="12.75">
      <c r="A26" s="278" t="s">
        <v>475</v>
      </c>
      <c r="B26" s="279"/>
      <c r="C26" s="280"/>
      <c r="D26" s="90">
        <f>SUM(D27)</f>
        <v>61000</v>
      </c>
      <c r="E26" s="90">
        <f>E27</f>
        <v>18143.21</v>
      </c>
      <c r="F26" s="90">
        <f>F27</f>
        <v>42856.79</v>
      </c>
      <c r="G26" s="90">
        <f>G27</f>
        <v>0</v>
      </c>
    </row>
    <row r="27" spans="1:7" ht="12.75">
      <c r="A27" s="91">
        <v>900</v>
      </c>
      <c r="B27" s="91">
        <v>90095</v>
      </c>
      <c r="C27" s="1" t="s">
        <v>465</v>
      </c>
      <c r="D27" s="92">
        <f aca="true" t="shared" si="0" ref="D27:D35">E27+F27</f>
        <v>61000</v>
      </c>
      <c r="E27" s="92">
        <v>18143.21</v>
      </c>
      <c r="F27" s="92">
        <v>42856.79</v>
      </c>
      <c r="G27" s="92"/>
    </row>
    <row r="28" spans="1:7" ht="12.75">
      <c r="A28" s="278" t="s">
        <v>476</v>
      </c>
      <c r="B28" s="279"/>
      <c r="C28" s="280"/>
      <c r="D28" s="90">
        <f>E28+F28</f>
        <v>71000</v>
      </c>
      <c r="E28" s="90">
        <f>E29</f>
        <v>19443.8</v>
      </c>
      <c r="F28" s="90">
        <f>F29</f>
        <v>51556.2</v>
      </c>
      <c r="G28" s="90">
        <f>G29</f>
        <v>0</v>
      </c>
    </row>
    <row r="29" spans="1:9" ht="12.75">
      <c r="A29" s="91">
        <v>900</v>
      </c>
      <c r="B29" s="91">
        <v>90095</v>
      </c>
      <c r="C29" s="1" t="s">
        <v>465</v>
      </c>
      <c r="D29" s="92">
        <f>E29+F29</f>
        <v>71000</v>
      </c>
      <c r="E29" s="92">
        <v>19443.8</v>
      </c>
      <c r="F29" s="92">
        <v>51556.2</v>
      </c>
      <c r="G29" s="92"/>
      <c r="I29">
        <v>10980</v>
      </c>
    </row>
    <row r="30" spans="1:9" ht="12.75">
      <c r="A30" s="278" t="s">
        <v>477</v>
      </c>
      <c r="B30" s="279"/>
      <c r="C30" s="280"/>
      <c r="D30" s="90">
        <f t="shared" si="0"/>
        <v>100000</v>
      </c>
      <c r="E30" s="90">
        <f>E31</f>
        <v>40513.33</v>
      </c>
      <c r="F30" s="90">
        <f>F31</f>
        <v>59486.67</v>
      </c>
      <c r="G30" s="90">
        <f>G31</f>
        <v>0</v>
      </c>
      <c r="I30" t="s">
        <v>650</v>
      </c>
    </row>
    <row r="31" spans="1:7" ht="25.5">
      <c r="A31" s="91">
        <v>926</v>
      </c>
      <c r="B31" s="91">
        <v>92601</v>
      </c>
      <c r="C31" s="94" t="s">
        <v>478</v>
      </c>
      <c r="D31" s="92">
        <f t="shared" si="0"/>
        <v>100000</v>
      </c>
      <c r="E31" s="92">
        <v>40513.33</v>
      </c>
      <c r="F31" s="92">
        <v>59486.67</v>
      </c>
      <c r="G31" s="92"/>
    </row>
    <row r="32" spans="1:7" ht="12.75">
      <c r="A32" s="278" t="s">
        <v>479</v>
      </c>
      <c r="B32" s="279"/>
      <c r="C32" s="280"/>
      <c r="D32" s="90">
        <f t="shared" si="0"/>
        <v>100000</v>
      </c>
      <c r="E32" s="90">
        <f>E33</f>
        <v>34140.44</v>
      </c>
      <c r="F32" s="90">
        <f>F33</f>
        <v>65859.56</v>
      </c>
      <c r="G32" s="90">
        <f>G33</f>
        <v>0</v>
      </c>
    </row>
    <row r="33" spans="1:7" ht="12.75">
      <c r="A33" s="91">
        <v>900</v>
      </c>
      <c r="B33" s="91">
        <v>90095</v>
      </c>
      <c r="C33" s="1" t="s">
        <v>465</v>
      </c>
      <c r="D33" s="92">
        <f t="shared" si="0"/>
        <v>100000</v>
      </c>
      <c r="E33" s="92">
        <v>34140.44</v>
      </c>
      <c r="F33" s="92">
        <v>65859.56</v>
      </c>
      <c r="G33" s="92"/>
    </row>
    <row r="34" spans="1:7" ht="12.75">
      <c r="A34" s="278" t="s">
        <v>480</v>
      </c>
      <c r="B34" s="279"/>
      <c r="C34" s="280"/>
      <c r="D34" s="90">
        <f t="shared" si="0"/>
        <v>70000</v>
      </c>
      <c r="E34" s="90">
        <f>E35</f>
        <v>27247.33</v>
      </c>
      <c r="F34" s="90">
        <f>F35</f>
        <v>42752.67</v>
      </c>
      <c r="G34" s="90">
        <f>G35</f>
        <v>0</v>
      </c>
    </row>
    <row r="35" spans="1:7" ht="12.75">
      <c r="A35" s="91">
        <v>900</v>
      </c>
      <c r="B35" s="91">
        <v>90095</v>
      </c>
      <c r="C35" s="94" t="s">
        <v>481</v>
      </c>
      <c r="D35" s="92">
        <f t="shared" si="0"/>
        <v>70000</v>
      </c>
      <c r="E35" s="92">
        <v>27247.33</v>
      </c>
      <c r="F35" s="92">
        <v>42752.67</v>
      </c>
      <c r="G35" s="92"/>
    </row>
    <row r="36" spans="1:7" ht="12.75">
      <c r="A36" s="278" t="s">
        <v>482</v>
      </c>
      <c r="B36" s="279"/>
      <c r="C36" s="280"/>
      <c r="D36" s="90">
        <f>SUM(D37)</f>
        <v>60000</v>
      </c>
      <c r="E36" s="90">
        <f>E37</f>
        <v>17753.03</v>
      </c>
      <c r="F36" s="90">
        <f>F37</f>
        <v>42246.97</v>
      </c>
      <c r="G36" s="90">
        <f>G37</f>
        <v>0</v>
      </c>
    </row>
    <row r="37" spans="1:7" ht="12.75">
      <c r="A37" s="91">
        <v>900</v>
      </c>
      <c r="B37" s="91">
        <v>90095</v>
      </c>
      <c r="C37" s="1" t="s">
        <v>483</v>
      </c>
      <c r="D37" s="92">
        <f>E37+F37</f>
        <v>60000</v>
      </c>
      <c r="E37" s="92">
        <v>17753.03</v>
      </c>
      <c r="F37" s="92">
        <v>42246.97</v>
      </c>
      <c r="G37" s="92"/>
    </row>
    <row r="38" spans="1:7" ht="12.75">
      <c r="A38" s="278" t="s">
        <v>484</v>
      </c>
      <c r="B38" s="279"/>
      <c r="C38" s="280"/>
      <c r="D38" s="90">
        <f>SUM(D39)</f>
        <v>30000</v>
      </c>
      <c r="E38" s="90">
        <f>E39</f>
        <v>15151.85</v>
      </c>
      <c r="F38" s="90">
        <f>F39</f>
        <v>14848.15</v>
      </c>
      <c r="G38" s="90">
        <f>G39</f>
        <v>0</v>
      </c>
    </row>
    <row r="39" spans="1:7" ht="25.5">
      <c r="A39" s="91">
        <v>630</v>
      </c>
      <c r="B39" s="91">
        <v>63003</v>
      </c>
      <c r="C39" s="94" t="s">
        <v>485</v>
      </c>
      <c r="D39" s="92">
        <f>E39+F39</f>
        <v>30000</v>
      </c>
      <c r="E39" s="92">
        <v>15151.85</v>
      </c>
      <c r="F39" s="92">
        <v>14848.15</v>
      </c>
      <c r="G39" s="92"/>
    </row>
    <row r="40" spans="1:7" ht="12.75">
      <c r="A40" s="278" t="s">
        <v>486</v>
      </c>
      <c r="B40" s="279"/>
      <c r="C40" s="280"/>
      <c r="D40" s="90">
        <f>SUM(D41)</f>
        <v>70000</v>
      </c>
      <c r="E40" s="90">
        <f>E41</f>
        <v>22500.18</v>
      </c>
      <c r="F40" s="90">
        <f>F41</f>
        <v>47499.82</v>
      </c>
      <c r="G40" s="90">
        <f>G41</f>
        <v>0</v>
      </c>
    </row>
    <row r="41" spans="1:7" ht="12.75">
      <c r="A41" s="91">
        <v>900</v>
      </c>
      <c r="B41" s="91">
        <v>90095</v>
      </c>
      <c r="C41" s="94" t="s">
        <v>481</v>
      </c>
      <c r="D41" s="92">
        <f>E41+F41</f>
        <v>70000</v>
      </c>
      <c r="E41" s="92">
        <v>22500.18</v>
      </c>
      <c r="F41" s="92">
        <v>47499.82</v>
      </c>
      <c r="G41" s="92"/>
    </row>
    <row r="42" spans="1:7" ht="12.75">
      <c r="A42" s="278" t="s">
        <v>487</v>
      </c>
      <c r="B42" s="279"/>
      <c r="C42" s="280"/>
      <c r="D42" s="90">
        <f>SUM(D43:D45)</f>
        <v>100000</v>
      </c>
      <c r="E42" s="90">
        <f>SUM(E43:E45)</f>
        <v>33360.09</v>
      </c>
      <c r="F42" s="90">
        <f>SUM(F43:F45)</f>
        <v>66639.91</v>
      </c>
      <c r="G42" s="90">
        <f>SUM(G43:G45)</f>
        <v>0</v>
      </c>
    </row>
    <row r="43" spans="1:7" ht="12.75">
      <c r="A43" s="95">
        <v>900</v>
      </c>
      <c r="B43" s="96">
        <v>90095</v>
      </c>
      <c r="C43" s="93" t="s">
        <v>488</v>
      </c>
      <c r="D43" s="92">
        <f>E43+F43</f>
        <v>59939.91</v>
      </c>
      <c r="E43" s="92">
        <v>18300</v>
      </c>
      <c r="F43" s="92">
        <v>41639.91</v>
      </c>
      <c r="G43" s="92"/>
    </row>
    <row r="44" spans="1:7" ht="12.75">
      <c r="A44" s="91">
        <v>900</v>
      </c>
      <c r="B44" s="91">
        <v>90095</v>
      </c>
      <c r="C44" s="93" t="s">
        <v>489</v>
      </c>
      <c r="D44" s="92">
        <f>E44+F44</f>
        <v>22000</v>
      </c>
      <c r="E44" s="92">
        <v>7000</v>
      </c>
      <c r="F44" s="92">
        <v>15000</v>
      </c>
      <c r="G44" s="92"/>
    </row>
    <row r="45" spans="1:7" ht="25.5">
      <c r="A45" s="91">
        <v>900</v>
      </c>
      <c r="B45" s="91">
        <v>90095</v>
      </c>
      <c r="C45" s="97" t="s">
        <v>490</v>
      </c>
      <c r="D45" s="92">
        <f>E45+F45</f>
        <v>18060.09</v>
      </c>
      <c r="E45" s="92">
        <v>8060.09</v>
      </c>
      <c r="F45" s="92">
        <v>10000</v>
      </c>
      <c r="G45" s="92"/>
    </row>
    <row r="46" spans="1:7" ht="12.75">
      <c r="A46" s="278" t="s">
        <v>491</v>
      </c>
      <c r="B46" s="279"/>
      <c r="C46" s="280"/>
      <c r="D46" s="90">
        <f>SUM(D47:D49)</f>
        <v>30000</v>
      </c>
      <c r="E46" s="90">
        <f>SUM(E47:E49)</f>
        <v>25000</v>
      </c>
      <c r="F46" s="90">
        <f>SUM(F47:F49)</f>
        <v>5000</v>
      </c>
      <c r="G46" s="90">
        <f>SUM(G47:G49)</f>
        <v>0</v>
      </c>
    </row>
    <row r="47" spans="1:7" ht="12.75">
      <c r="A47" s="91">
        <v>600</v>
      </c>
      <c r="B47" s="91">
        <v>60016</v>
      </c>
      <c r="C47" s="1" t="s">
        <v>492</v>
      </c>
      <c r="D47" s="92">
        <f>E47+F47</f>
        <v>17500</v>
      </c>
      <c r="E47" s="92">
        <v>14000</v>
      </c>
      <c r="F47" s="92">
        <v>3500</v>
      </c>
      <c r="G47" s="92"/>
    </row>
    <row r="48" spans="1:7" ht="12.75">
      <c r="A48" s="91">
        <v>921</v>
      </c>
      <c r="B48" s="91">
        <v>92109</v>
      </c>
      <c r="C48" s="1" t="s">
        <v>493</v>
      </c>
      <c r="D48" s="92">
        <f>E48+F48</f>
        <v>10000</v>
      </c>
      <c r="E48" s="92">
        <v>10000</v>
      </c>
      <c r="F48" s="92">
        <v>0</v>
      </c>
      <c r="G48" s="92"/>
    </row>
    <row r="49" spans="1:7" ht="12.75">
      <c r="A49" s="91">
        <v>921</v>
      </c>
      <c r="B49" s="91">
        <v>92109</v>
      </c>
      <c r="C49" s="1" t="s">
        <v>494</v>
      </c>
      <c r="D49" s="92">
        <f>E49+F49</f>
        <v>2500</v>
      </c>
      <c r="E49" s="92">
        <v>1000</v>
      </c>
      <c r="F49" s="92">
        <v>1500</v>
      </c>
      <c r="G49" s="92"/>
    </row>
    <row r="50" spans="1:7" ht="12.75">
      <c r="A50" s="281" t="s">
        <v>353</v>
      </c>
      <c r="B50" s="282"/>
      <c r="C50" s="283"/>
      <c r="D50" s="90">
        <f>D10+D13+D15+D17+D20+D23+D26+D28+D30+D32+D34+D36+D38+D40+D42+D46</f>
        <v>1162000</v>
      </c>
      <c r="E50" s="90">
        <f>E10+E13+E15+E17+E20+E23+E26+E28+E30+E32+E34+E36+E38+E40+E42+E46</f>
        <v>439302.42999999993</v>
      </c>
      <c r="F50" s="90">
        <f>F10+F13+F15+F17+F20+F23+F26+F28+F30+F32+F34+F36+F38+F40+F42+F46</f>
        <v>722697.57</v>
      </c>
      <c r="G50" s="90">
        <f>G10+G13+G15+G17+G20+G23+G26+G28+G30+G32+G34+G36+G38+G40+G42+G46</f>
        <v>0</v>
      </c>
    </row>
  </sheetData>
  <sheetProtection/>
  <mergeCells count="24">
    <mergeCell ref="A36:C36"/>
    <mergeCell ref="A38:C38"/>
    <mergeCell ref="A40:C40"/>
    <mergeCell ref="A42:C42"/>
    <mergeCell ref="A46:C46"/>
    <mergeCell ref="A50:C50"/>
    <mergeCell ref="A23:C23"/>
    <mergeCell ref="A26:C26"/>
    <mergeCell ref="A28:C28"/>
    <mergeCell ref="A30:C30"/>
    <mergeCell ref="A32:C32"/>
    <mergeCell ref="A34:C34"/>
    <mergeCell ref="E7:F7"/>
    <mergeCell ref="A10:C10"/>
    <mergeCell ref="A13:C13"/>
    <mergeCell ref="A15:C15"/>
    <mergeCell ref="A17:C17"/>
    <mergeCell ref="A20:C20"/>
    <mergeCell ref="A2:C2"/>
    <mergeCell ref="A3:C3"/>
    <mergeCell ref="A4:C4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6">
      <selection activeCell="L1" sqref="L1:L2"/>
    </sheetView>
  </sheetViews>
  <sheetFormatPr defaultColWidth="9.00390625" defaultRowHeight="12.75"/>
  <cols>
    <col min="1" max="1" width="3.75390625" style="34" customWidth="1"/>
    <col min="2" max="2" width="4.625" style="34" customWidth="1"/>
    <col min="3" max="3" width="7.375" style="34" customWidth="1"/>
    <col min="4" max="4" width="43.25390625" style="34" customWidth="1"/>
    <col min="5" max="5" width="23.25390625" style="34" customWidth="1"/>
    <col min="6" max="6" width="15.625" style="34" customWidth="1"/>
    <col min="7" max="7" width="13.00390625" style="34" customWidth="1"/>
    <col min="8" max="9" width="13.125" style="34" customWidth="1"/>
    <col min="10" max="10" width="13.00390625" style="34" customWidth="1"/>
    <col min="11" max="11" width="12.75390625" style="34" customWidth="1"/>
    <col min="12" max="12" width="14.875" style="34" customWidth="1"/>
    <col min="13" max="13" width="10.875" style="34" customWidth="1"/>
    <col min="14" max="14" width="11.125" style="34" customWidth="1"/>
    <col min="15" max="16384" width="9.125" style="34" customWidth="1"/>
  </cols>
  <sheetData>
    <row r="1" spans="1:12" ht="18.75">
      <c r="A1" s="219" t="s">
        <v>411</v>
      </c>
      <c r="B1" s="219"/>
      <c r="C1" s="219"/>
      <c r="D1" s="219"/>
      <c r="E1" s="219"/>
      <c r="F1" s="219"/>
      <c r="G1" s="219"/>
      <c r="H1" s="219"/>
      <c r="I1" s="70"/>
      <c r="L1" s="136" t="s">
        <v>651</v>
      </c>
    </row>
    <row r="2" spans="1:12" ht="18.75">
      <c r="A2" s="219" t="s">
        <v>412</v>
      </c>
      <c r="B2" s="219"/>
      <c r="C2" s="219"/>
      <c r="D2" s="219"/>
      <c r="E2" s="219"/>
      <c r="F2" s="219"/>
      <c r="G2" s="219"/>
      <c r="H2" s="219"/>
      <c r="I2" s="70"/>
      <c r="L2" s="136" t="s">
        <v>605</v>
      </c>
    </row>
    <row r="3" spans="1:12" ht="18.75">
      <c r="A3" s="219" t="s">
        <v>413</v>
      </c>
      <c r="B3" s="219"/>
      <c r="C3" s="219"/>
      <c r="D3" s="219"/>
      <c r="E3" s="219"/>
      <c r="F3" s="219"/>
      <c r="G3" s="219"/>
      <c r="H3" s="219"/>
      <c r="I3" s="70"/>
      <c r="L3" s="52"/>
    </row>
    <row r="4" ht="12.75">
      <c r="L4" s="52"/>
    </row>
    <row r="5" spans="8:12" ht="12.75">
      <c r="H5" s="44"/>
      <c r="I5" s="44"/>
      <c r="L5" s="52"/>
    </row>
    <row r="6" spans="1:12" ht="9.75" customHeight="1">
      <c r="A6" s="57"/>
      <c r="B6" s="57"/>
      <c r="C6" s="57"/>
      <c r="D6" s="57"/>
      <c r="E6" s="57"/>
      <c r="F6" s="57"/>
      <c r="G6" s="57"/>
      <c r="J6" s="71"/>
      <c r="K6" s="71"/>
      <c r="L6" s="35" t="s">
        <v>200</v>
      </c>
    </row>
    <row r="7" spans="1:12" ht="64.5" customHeight="1">
      <c r="A7" s="289" t="s">
        <v>127</v>
      </c>
      <c r="B7" s="289" t="s">
        <v>47</v>
      </c>
      <c r="C7" s="289" t="s">
        <v>51</v>
      </c>
      <c r="D7" s="284" t="s">
        <v>354</v>
      </c>
      <c r="E7" s="284" t="s">
        <v>414</v>
      </c>
      <c r="F7" s="284" t="s">
        <v>415</v>
      </c>
      <c r="G7" s="284" t="s">
        <v>416</v>
      </c>
      <c r="H7" s="286" t="s">
        <v>417</v>
      </c>
      <c r="I7" s="286"/>
      <c r="J7" s="286"/>
      <c r="K7" s="286"/>
      <c r="L7" s="286"/>
    </row>
    <row r="8" spans="1:12" ht="25.5" customHeight="1">
      <c r="A8" s="290"/>
      <c r="B8" s="290"/>
      <c r="C8" s="290"/>
      <c r="D8" s="285"/>
      <c r="E8" s="285"/>
      <c r="F8" s="285"/>
      <c r="G8" s="285"/>
      <c r="H8" s="187" t="s">
        <v>374</v>
      </c>
      <c r="I8" s="187" t="s">
        <v>438</v>
      </c>
      <c r="J8" s="187" t="s">
        <v>375</v>
      </c>
      <c r="K8" s="187" t="s">
        <v>376</v>
      </c>
      <c r="L8" s="187" t="s">
        <v>377</v>
      </c>
    </row>
    <row r="9" spans="1:12" s="72" customFormat="1" ht="13.5" customHeight="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8">
        <v>12</v>
      </c>
    </row>
    <row r="10" spans="1:14" ht="25.5">
      <c r="A10" s="59">
        <v>1</v>
      </c>
      <c r="B10" s="60" t="s">
        <v>114</v>
      </c>
      <c r="C10" s="60" t="s">
        <v>115</v>
      </c>
      <c r="D10" s="62" t="s">
        <v>379</v>
      </c>
      <c r="E10" s="61" t="s">
        <v>418</v>
      </c>
      <c r="F10" s="61" t="s">
        <v>380</v>
      </c>
      <c r="G10" s="63">
        <v>1345000</v>
      </c>
      <c r="H10" s="63">
        <v>1199412</v>
      </c>
      <c r="I10" s="63">
        <v>14604.35</v>
      </c>
      <c r="J10" s="63">
        <v>0</v>
      </c>
      <c r="K10" s="63">
        <v>0</v>
      </c>
      <c r="L10" s="63">
        <v>0</v>
      </c>
      <c r="M10" s="44"/>
      <c r="N10" s="44"/>
    </row>
    <row r="11" spans="1:14" ht="25.5">
      <c r="A11" s="59">
        <v>2</v>
      </c>
      <c r="B11" s="61">
        <v>400</v>
      </c>
      <c r="C11" s="61">
        <v>40002</v>
      </c>
      <c r="D11" s="62" t="s">
        <v>419</v>
      </c>
      <c r="E11" s="61" t="s">
        <v>418</v>
      </c>
      <c r="F11" s="61" t="s">
        <v>420</v>
      </c>
      <c r="G11" s="63">
        <v>10000000</v>
      </c>
      <c r="H11" s="63">
        <v>3000000</v>
      </c>
      <c r="I11" s="63"/>
      <c r="J11" s="63">
        <v>2220000</v>
      </c>
      <c r="K11" s="63">
        <v>2580000</v>
      </c>
      <c r="L11" s="63">
        <v>2200000</v>
      </c>
      <c r="M11" s="44"/>
      <c r="N11" s="44"/>
    </row>
    <row r="12" spans="1:14" ht="12.75">
      <c r="A12" s="59">
        <v>3</v>
      </c>
      <c r="B12" s="61">
        <v>600</v>
      </c>
      <c r="C12" s="61">
        <v>60016</v>
      </c>
      <c r="D12" s="53" t="s">
        <v>421</v>
      </c>
      <c r="E12" s="61" t="s">
        <v>418</v>
      </c>
      <c r="F12" s="61" t="s">
        <v>422</v>
      </c>
      <c r="G12" s="63">
        <v>28450000</v>
      </c>
      <c r="H12" s="63">
        <v>4500000</v>
      </c>
      <c r="I12" s="63"/>
      <c r="J12" s="63">
        <v>6900000</v>
      </c>
      <c r="K12" s="63">
        <v>7000000</v>
      </c>
      <c r="L12" s="63">
        <v>10000000</v>
      </c>
      <c r="M12" s="44"/>
      <c r="N12" s="44"/>
    </row>
    <row r="13" spans="1:14" ht="12.75">
      <c r="A13" s="59">
        <v>4</v>
      </c>
      <c r="B13" s="61">
        <v>600</v>
      </c>
      <c r="C13" s="61">
        <v>60041</v>
      </c>
      <c r="D13" s="53" t="s">
        <v>423</v>
      </c>
      <c r="E13" s="61" t="s">
        <v>418</v>
      </c>
      <c r="F13" s="61" t="s">
        <v>391</v>
      </c>
      <c r="G13" s="63">
        <v>10000000</v>
      </c>
      <c r="H13" s="63">
        <v>1500000</v>
      </c>
      <c r="I13" s="63">
        <v>43591.12</v>
      </c>
      <c r="J13" s="63">
        <v>8450000</v>
      </c>
      <c r="K13" s="63">
        <v>0</v>
      </c>
      <c r="L13" s="63">
        <v>0</v>
      </c>
      <c r="M13" s="44"/>
      <c r="N13" s="44"/>
    </row>
    <row r="14" spans="1:14" ht="25.5">
      <c r="A14" s="59">
        <v>5</v>
      </c>
      <c r="B14" s="61">
        <v>630</v>
      </c>
      <c r="C14" s="61">
        <v>63003</v>
      </c>
      <c r="D14" s="62" t="s">
        <v>384</v>
      </c>
      <c r="E14" s="61" t="s">
        <v>418</v>
      </c>
      <c r="F14" s="61" t="s">
        <v>385</v>
      </c>
      <c r="G14" s="63">
        <v>10805550</v>
      </c>
      <c r="H14" s="63">
        <v>8000000</v>
      </c>
      <c r="I14" s="67">
        <v>3278953.13</v>
      </c>
      <c r="J14" s="63">
        <v>2632671</v>
      </c>
      <c r="K14" s="63">
        <v>0</v>
      </c>
      <c r="L14" s="63">
        <v>0</v>
      </c>
      <c r="M14" s="44"/>
      <c r="N14" s="44"/>
    </row>
    <row r="15" spans="1:14" s="41" customFormat="1" ht="12.75">
      <c r="A15" s="59">
        <v>6</v>
      </c>
      <c r="B15" s="61">
        <v>630</v>
      </c>
      <c r="C15" s="61">
        <v>63003</v>
      </c>
      <c r="D15" s="53" t="s">
        <v>387</v>
      </c>
      <c r="E15" s="61" t="s">
        <v>418</v>
      </c>
      <c r="F15" s="61" t="s">
        <v>388</v>
      </c>
      <c r="G15" s="63">
        <v>700000</v>
      </c>
      <c r="H15" s="63">
        <v>646723</v>
      </c>
      <c r="I15" s="67">
        <v>511233.57</v>
      </c>
      <c r="J15" s="63">
        <v>0</v>
      </c>
      <c r="K15" s="63">
        <v>0</v>
      </c>
      <c r="L15" s="63">
        <v>0</v>
      </c>
      <c r="M15" s="73"/>
      <c r="N15" s="73"/>
    </row>
    <row r="16" spans="1:14" ht="12.75">
      <c r="A16" s="59">
        <v>7</v>
      </c>
      <c r="B16" s="61">
        <v>700</v>
      </c>
      <c r="C16" s="61">
        <v>70005</v>
      </c>
      <c r="D16" s="53" t="s">
        <v>424</v>
      </c>
      <c r="E16" s="61" t="s">
        <v>418</v>
      </c>
      <c r="F16" s="61" t="s">
        <v>425</v>
      </c>
      <c r="G16" s="63">
        <v>15000000</v>
      </c>
      <c r="H16" s="63">
        <v>4000000</v>
      </c>
      <c r="I16" s="63">
        <v>3278953.13</v>
      </c>
      <c r="J16" s="63">
        <v>5000000</v>
      </c>
      <c r="K16" s="63">
        <v>6000000</v>
      </c>
      <c r="L16" s="63">
        <v>0</v>
      </c>
      <c r="M16" s="44"/>
      <c r="N16" s="44"/>
    </row>
    <row r="17" spans="1:14" ht="25.5">
      <c r="A17" s="59">
        <v>8</v>
      </c>
      <c r="B17" s="61">
        <v>750</v>
      </c>
      <c r="C17" s="61">
        <v>75023</v>
      </c>
      <c r="D17" s="62" t="s">
        <v>390</v>
      </c>
      <c r="E17" s="61" t="s">
        <v>418</v>
      </c>
      <c r="F17" s="61" t="s">
        <v>391</v>
      </c>
      <c r="G17" s="63">
        <v>550000</v>
      </c>
      <c r="H17" s="63">
        <v>95000</v>
      </c>
      <c r="I17" s="63">
        <v>0</v>
      </c>
      <c r="J17" s="63">
        <v>390000</v>
      </c>
      <c r="K17" s="63">
        <v>0</v>
      </c>
      <c r="L17" s="63"/>
      <c r="M17" s="44"/>
      <c r="N17" s="44"/>
    </row>
    <row r="18" spans="1:14" ht="38.25">
      <c r="A18" s="59">
        <v>9</v>
      </c>
      <c r="B18" s="61">
        <v>754</v>
      </c>
      <c r="C18" s="61">
        <v>75412</v>
      </c>
      <c r="D18" s="62" t="s">
        <v>395</v>
      </c>
      <c r="E18" s="65" t="s">
        <v>426</v>
      </c>
      <c r="F18" s="61" t="s">
        <v>396</v>
      </c>
      <c r="G18" s="63">
        <v>1690000</v>
      </c>
      <c r="H18" s="63">
        <v>1310000</v>
      </c>
      <c r="I18" s="63">
        <v>0</v>
      </c>
      <c r="J18" s="63">
        <v>290000</v>
      </c>
      <c r="K18" s="63"/>
      <c r="L18" s="63">
        <v>0</v>
      </c>
      <c r="M18" s="44"/>
      <c r="N18" s="44"/>
    </row>
    <row r="19" spans="1:14" ht="12.75">
      <c r="A19" s="59">
        <v>10</v>
      </c>
      <c r="B19" s="61">
        <v>801</v>
      </c>
      <c r="C19" s="61">
        <v>80101</v>
      </c>
      <c r="D19" s="53" t="s">
        <v>427</v>
      </c>
      <c r="E19" s="61" t="s">
        <v>418</v>
      </c>
      <c r="F19" s="61" t="s">
        <v>391</v>
      </c>
      <c r="G19" s="63">
        <v>1040000</v>
      </c>
      <c r="H19" s="63">
        <v>400000</v>
      </c>
      <c r="I19" s="63">
        <v>0</v>
      </c>
      <c r="J19" s="63">
        <v>620000</v>
      </c>
      <c r="K19" s="63">
        <v>0</v>
      </c>
      <c r="L19" s="63">
        <v>0</v>
      </c>
      <c r="M19" s="44"/>
      <c r="N19" s="44"/>
    </row>
    <row r="20" spans="1:14" ht="12.75">
      <c r="A20" s="59">
        <v>11</v>
      </c>
      <c r="B20" s="61">
        <v>801</v>
      </c>
      <c r="C20" s="61">
        <v>80101</v>
      </c>
      <c r="D20" s="62" t="s">
        <v>428</v>
      </c>
      <c r="E20" s="61" t="s">
        <v>418</v>
      </c>
      <c r="F20" s="61" t="s">
        <v>429</v>
      </c>
      <c r="G20" s="63">
        <v>1150000</v>
      </c>
      <c r="H20" s="63">
        <v>1150000</v>
      </c>
      <c r="I20" s="63">
        <v>15469.6</v>
      </c>
      <c r="J20" s="63">
        <v>0</v>
      </c>
      <c r="K20" s="63">
        <v>0</v>
      </c>
      <c r="L20" s="63">
        <v>0</v>
      </c>
      <c r="M20" s="44"/>
      <c r="N20" s="44"/>
    </row>
    <row r="21" spans="1:14" ht="12.75">
      <c r="A21" s="59">
        <v>12</v>
      </c>
      <c r="B21" s="61">
        <v>801</v>
      </c>
      <c r="C21" s="61">
        <v>80101</v>
      </c>
      <c r="D21" s="62" t="s">
        <v>430</v>
      </c>
      <c r="E21" s="61" t="s">
        <v>418</v>
      </c>
      <c r="F21" s="61" t="s">
        <v>425</v>
      </c>
      <c r="G21" s="63">
        <v>1720000</v>
      </c>
      <c r="H21" s="63">
        <v>950000</v>
      </c>
      <c r="I21" s="63">
        <v>42788.96</v>
      </c>
      <c r="J21" s="63">
        <v>350000</v>
      </c>
      <c r="K21" s="63">
        <v>320000</v>
      </c>
      <c r="L21" s="63">
        <v>0</v>
      </c>
      <c r="M21" s="44"/>
      <c r="N21" s="44"/>
    </row>
    <row r="22" spans="1:14" ht="25.5">
      <c r="A22" s="59">
        <v>13</v>
      </c>
      <c r="B22" s="61">
        <v>801</v>
      </c>
      <c r="C22" s="61">
        <v>80110</v>
      </c>
      <c r="D22" s="62" t="s">
        <v>398</v>
      </c>
      <c r="E22" s="61" t="s">
        <v>418</v>
      </c>
      <c r="F22" s="61" t="s">
        <v>399</v>
      </c>
      <c r="G22" s="63">
        <v>671440</v>
      </c>
      <c r="H22" s="63">
        <v>114040</v>
      </c>
      <c r="I22" s="63">
        <v>23912</v>
      </c>
      <c r="J22" s="63">
        <v>0</v>
      </c>
      <c r="K22" s="63">
        <v>0</v>
      </c>
      <c r="L22" s="63">
        <v>0</v>
      </c>
      <c r="M22" s="44"/>
      <c r="N22" s="44"/>
    </row>
    <row r="23" spans="1:14" s="41" customFormat="1" ht="38.25">
      <c r="A23" s="59">
        <v>14</v>
      </c>
      <c r="B23" s="61">
        <v>900</v>
      </c>
      <c r="C23" s="61">
        <v>90001</v>
      </c>
      <c r="D23" s="62" t="s">
        <v>407</v>
      </c>
      <c r="E23" s="61" t="s">
        <v>418</v>
      </c>
      <c r="F23" s="61" t="s">
        <v>408</v>
      </c>
      <c r="G23" s="63">
        <v>5200000</v>
      </c>
      <c r="H23" s="63">
        <v>3511000</v>
      </c>
      <c r="I23" s="63">
        <f>209.92+64.05</f>
        <v>273.96999999999997</v>
      </c>
      <c r="J23" s="63">
        <v>475000</v>
      </c>
      <c r="K23" s="63">
        <v>1000000</v>
      </c>
      <c r="L23" s="63">
        <v>0</v>
      </c>
      <c r="M23" s="73"/>
      <c r="N23" s="73"/>
    </row>
    <row r="24" spans="1:14" s="41" customFormat="1" ht="12.75">
      <c r="A24" s="59">
        <v>15</v>
      </c>
      <c r="B24" s="61">
        <v>900</v>
      </c>
      <c r="C24" s="61">
        <v>90001</v>
      </c>
      <c r="D24" s="62" t="s">
        <v>431</v>
      </c>
      <c r="E24" s="61" t="s">
        <v>418</v>
      </c>
      <c r="F24" s="61" t="s">
        <v>380</v>
      </c>
      <c r="G24" s="63">
        <v>1350000</v>
      </c>
      <c r="H24" s="63">
        <v>150000</v>
      </c>
      <c r="I24" s="63">
        <v>82104.34</v>
      </c>
      <c r="J24" s="63">
        <v>0</v>
      </c>
      <c r="K24" s="63">
        <v>0</v>
      </c>
      <c r="L24" s="63">
        <v>0</v>
      </c>
      <c r="M24" s="73"/>
      <c r="N24" s="73"/>
    </row>
    <row r="25" spans="1:14" s="41" customFormat="1" ht="51">
      <c r="A25" s="59">
        <v>16</v>
      </c>
      <c r="B25" s="61">
        <v>900</v>
      </c>
      <c r="C25" s="61">
        <v>90095</v>
      </c>
      <c r="D25" s="62" t="s">
        <v>432</v>
      </c>
      <c r="E25" s="61" t="s">
        <v>418</v>
      </c>
      <c r="F25" s="61" t="s">
        <v>396</v>
      </c>
      <c r="G25" s="63">
        <v>1094000</v>
      </c>
      <c r="H25" s="63">
        <v>1052000</v>
      </c>
      <c r="I25" s="63">
        <v>10980</v>
      </c>
      <c r="J25" s="63">
        <f>14000*3</f>
        <v>42000</v>
      </c>
      <c r="K25" s="63">
        <v>0</v>
      </c>
      <c r="L25" s="63">
        <v>0</v>
      </c>
      <c r="M25" s="73"/>
      <c r="N25" s="73"/>
    </row>
    <row r="26" spans="1:14" ht="12.75">
      <c r="A26" s="59">
        <v>17</v>
      </c>
      <c r="B26" s="61">
        <v>921</v>
      </c>
      <c r="C26" s="61">
        <v>92109</v>
      </c>
      <c r="D26" s="53" t="s">
        <v>433</v>
      </c>
      <c r="E26" s="61" t="s">
        <v>418</v>
      </c>
      <c r="F26" s="61" t="s">
        <v>396</v>
      </c>
      <c r="G26" s="63">
        <v>1520000</v>
      </c>
      <c r="H26" s="63">
        <v>50000</v>
      </c>
      <c r="I26" s="63">
        <v>0</v>
      </c>
      <c r="J26" s="63">
        <v>1470000</v>
      </c>
      <c r="K26" s="63">
        <v>0</v>
      </c>
      <c r="L26" s="63">
        <v>0</v>
      </c>
      <c r="M26" s="44"/>
      <c r="N26" s="44"/>
    </row>
    <row r="27" spans="1:14" ht="12.75">
      <c r="A27" s="59">
        <v>18</v>
      </c>
      <c r="B27" s="61">
        <v>921</v>
      </c>
      <c r="C27" s="61">
        <v>92109</v>
      </c>
      <c r="D27" s="53" t="s">
        <v>434</v>
      </c>
      <c r="E27" s="61" t="s">
        <v>418</v>
      </c>
      <c r="F27" s="61" t="s">
        <v>396</v>
      </c>
      <c r="G27" s="63">
        <v>790000</v>
      </c>
      <c r="H27" s="63">
        <v>690000</v>
      </c>
      <c r="I27" s="63">
        <v>24400</v>
      </c>
      <c r="J27" s="63">
        <v>100000</v>
      </c>
      <c r="K27" s="63">
        <v>0</v>
      </c>
      <c r="L27" s="63">
        <v>0</v>
      </c>
      <c r="M27" s="44"/>
      <c r="N27" s="44"/>
    </row>
    <row r="28" spans="1:14" ht="25.5">
      <c r="A28" s="59">
        <v>19</v>
      </c>
      <c r="B28" s="61">
        <v>921</v>
      </c>
      <c r="C28" s="61">
        <v>92109</v>
      </c>
      <c r="D28" s="62" t="s">
        <v>435</v>
      </c>
      <c r="E28" s="61" t="s">
        <v>418</v>
      </c>
      <c r="F28" s="61" t="s">
        <v>425</v>
      </c>
      <c r="G28" s="63">
        <v>700000</v>
      </c>
      <c r="H28" s="63">
        <v>165000</v>
      </c>
      <c r="I28" s="63">
        <v>0</v>
      </c>
      <c r="J28" s="63">
        <v>200000</v>
      </c>
      <c r="K28" s="63">
        <v>335000</v>
      </c>
      <c r="L28" s="63">
        <v>0</v>
      </c>
      <c r="M28" s="44"/>
      <c r="N28" s="44"/>
    </row>
    <row r="29" spans="1:14" ht="38.25">
      <c r="A29" s="59">
        <v>20</v>
      </c>
      <c r="B29" s="61">
        <v>926</v>
      </c>
      <c r="C29" s="61">
        <v>92601</v>
      </c>
      <c r="D29" s="62" t="s">
        <v>409</v>
      </c>
      <c r="E29" s="61" t="s">
        <v>418</v>
      </c>
      <c r="F29" s="61" t="s">
        <v>396</v>
      </c>
      <c r="G29" s="63">
        <v>1100000</v>
      </c>
      <c r="H29" s="63">
        <v>1000000</v>
      </c>
      <c r="I29" s="63">
        <v>15582.03</v>
      </c>
      <c r="J29" s="63">
        <v>100000</v>
      </c>
      <c r="K29" s="63">
        <v>0</v>
      </c>
      <c r="L29" s="63">
        <v>0</v>
      </c>
      <c r="M29" s="44"/>
      <c r="N29" s="44"/>
    </row>
    <row r="30" spans="1:14" ht="12.75">
      <c r="A30" s="59">
        <v>21</v>
      </c>
      <c r="B30" s="61">
        <v>926</v>
      </c>
      <c r="C30" s="61">
        <v>92601</v>
      </c>
      <c r="D30" s="62" t="s">
        <v>436</v>
      </c>
      <c r="E30" s="61" t="s">
        <v>418</v>
      </c>
      <c r="F30" s="61" t="s">
        <v>391</v>
      </c>
      <c r="G30" s="63">
        <v>6000000</v>
      </c>
      <c r="H30" s="63">
        <f>4520000-1000000</f>
        <v>3520000</v>
      </c>
      <c r="I30" s="63">
        <v>0</v>
      </c>
      <c r="J30" s="63">
        <v>2430000</v>
      </c>
      <c r="K30" s="63">
        <v>0</v>
      </c>
      <c r="L30" s="63">
        <v>0</v>
      </c>
      <c r="M30" s="44"/>
      <c r="N30" s="44"/>
    </row>
    <row r="31" spans="1:14" ht="12.75">
      <c r="A31" s="59">
        <v>22</v>
      </c>
      <c r="B31" s="61">
        <v>926</v>
      </c>
      <c r="C31" s="61">
        <v>92601</v>
      </c>
      <c r="D31" s="53" t="s">
        <v>437</v>
      </c>
      <c r="E31" s="61" t="s">
        <v>418</v>
      </c>
      <c r="F31" s="61" t="s">
        <v>425</v>
      </c>
      <c r="G31" s="63">
        <v>1000000</v>
      </c>
      <c r="H31" s="63">
        <v>480000</v>
      </c>
      <c r="I31" s="63">
        <v>0</v>
      </c>
      <c r="J31" s="63">
        <v>300000</v>
      </c>
      <c r="K31" s="63">
        <v>220000</v>
      </c>
      <c r="L31" s="63"/>
      <c r="M31" s="44"/>
      <c r="N31" s="44"/>
    </row>
    <row r="32" spans="1:14" ht="12.75">
      <c r="A32" s="287" t="s">
        <v>353</v>
      </c>
      <c r="B32" s="287"/>
      <c r="C32" s="287"/>
      <c r="D32" s="287"/>
      <c r="E32" s="287"/>
      <c r="F32" s="287"/>
      <c r="G32" s="74">
        <f aca="true" t="shared" si="0" ref="G32:L32">SUM(G10:G31)</f>
        <v>101875990</v>
      </c>
      <c r="H32" s="74">
        <f t="shared" si="0"/>
        <v>37483175</v>
      </c>
      <c r="I32" s="74">
        <f t="shared" si="0"/>
        <v>7342846.199999999</v>
      </c>
      <c r="J32" s="74">
        <f t="shared" si="0"/>
        <v>31969671</v>
      </c>
      <c r="K32" s="74">
        <f t="shared" si="0"/>
        <v>17455000</v>
      </c>
      <c r="L32" s="74">
        <f t="shared" si="0"/>
        <v>12200000</v>
      </c>
      <c r="M32" s="44"/>
      <c r="N32" s="44"/>
    </row>
    <row r="33" spans="1:12" s="2" customFormat="1" ht="12.75">
      <c r="A33" s="288"/>
      <c r="B33" s="288"/>
      <c r="C33" s="288"/>
      <c r="D33" s="288"/>
      <c r="E33" s="288"/>
      <c r="F33" s="4"/>
      <c r="G33" s="4"/>
      <c r="H33" s="4"/>
      <c r="I33" s="4"/>
      <c r="J33" s="4"/>
      <c r="K33" s="4"/>
      <c r="L33" s="4"/>
    </row>
    <row r="34" spans="1:13" ht="12.75">
      <c r="A34" s="41"/>
      <c r="B34" s="41"/>
      <c r="C34" s="41"/>
      <c r="D34" s="41"/>
      <c r="E34" s="41"/>
      <c r="F34" s="41"/>
      <c r="G34" s="41"/>
      <c r="H34" s="73"/>
      <c r="I34" s="73"/>
      <c r="J34" s="73"/>
      <c r="K34" s="73"/>
      <c r="L34" s="41"/>
      <c r="M34" s="44"/>
    </row>
    <row r="35" spans="8:11" ht="12.75">
      <c r="H35" s="44"/>
      <c r="I35" s="44"/>
      <c r="K35" s="44"/>
    </row>
    <row r="38" spans="7:9" ht="12.75">
      <c r="G38" s="44"/>
      <c r="H38" s="44"/>
      <c r="I38" s="44"/>
    </row>
  </sheetData>
  <sheetProtection/>
  <mergeCells count="13">
    <mergeCell ref="A1:H1"/>
    <mergeCell ref="A2:H2"/>
    <mergeCell ref="A3:H3"/>
    <mergeCell ref="A7:A8"/>
    <mergeCell ref="B7:B8"/>
    <mergeCell ref="C7:C8"/>
    <mergeCell ref="D7:D8"/>
    <mergeCell ref="E7:E8"/>
    <mergeCell ref="F7:F8"/>
    <mergeCell ref="G7:G8"/>
    <mergeCell ref="H7:L7"/>
    <mergeCell ref="A32:F32"/>
    <mergeCell ref="A33:E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6">
      <selection activeCell="R11" sqref="R11"/>
    </sheetView>
  </sheetViews>
  <sheetFormatPr defaultColWidth="9.00390625" defaultRowHeight="12.75"/>
  <cols>
    <col min="1" max="1" width="4.25390625" style="2" customWidth="1"/>
    <col min="2" max="2" width="4.75390625" style="2" customWidth="1"/>
    <col min="3" max="3" width="8.25390625" style="2" customWidth="1"/>
    <col min="4" max="4" width="34.875" style="2" customWidth="1"/>
    <col min="5" max="5" width="39.125" style="2" customWidth="1"/>
    <col min="6" max="6" width="9.875" style="2" customWidth="1"/>
    <col min="7" max="7" width="12.125" style="2" customWidth="1"/>
    <col min="8" max="9" width="11.25390625" style="2" customWidth="1"/>
    <col min="10" max="11" width="10.375" style="2" customWidth="1"/>
    <col min="12" max="12" width="10.125" style="2" customWidth="1"/>
    <col min="13" max="13" width="12.25390625" style="2" customWidth="1"/>
    <col min="14" max="16384" width="9.125" style="2" customWidth="1"/>
  </cols>
  <sheetData>
    <row r="1" spans="1:12" ht="69.75" customHeight="1">
      <c r="A1" s="292" t="s">
        <v>367</v>
      </c>
      <c r="B1" s="292"/>
      <c r="C1" s="292"/>
      <c r="D1" s="292"/>
      <c r="E1" s="292"/>
      <c r="F1" s="292"/>
      <c r="G1" s="292"/>
      <c r="H1" s="292"/>
      <c r="I1" s="56"/>
      <c r="L1" s="136" t="s">
        <v>652</v>
      </c>
    </row>
    <row r="2" spans="1:12" ht="12.75" customHeight="1">
      <c r="A2" s="292"/>
      <c r="B2" s="292"/>
      <c r="C2" s="292"/>
      <c r="D2" s="292"/>
      <c r="E2" s="292"/>
      <c r="F2" s="292"/>
      <c r="G2" s="292"/>
      <c r="H2" s="292"/>
      <c r="I2" s="56"/>
      <c r="L2" s="136" t="s">
        <v>605</v>
      </c>
    </row>
    <row r="3" spans="1:12" ht="12.75" customHeight="1">
      <c r="A3" s="292"/>
      <c r="B3" s="292"/>
      <c r="C3" s="292"/>
      <c r="D3" s="292"/>
      <c r="E3" s="292"/>
      <c r="F3" s="292"/>
      <c r="G3" s="292"/>
      <c r="H3" s="292"/>
      <c r="I3" s="56"/>
      <c r="L3" s="52"/>
    </row>
    <row r="4" spans="1:12" ht="9.75" customHeight="1">
      <c r="A4" s="292"/>
      <c r="B4" s="292"/>
      <c r="C4" s="292"/>
      <c r="D4" s="292"/>
      <c r="E4" s="292"/>
      <c r="F4" s="292"/>
      <c r="G4" s="292"/>
      <c r="H4" s="292"/>
      <c r="I4" s="56"/>
      <c r="L4" s="52"/>
    </row>
    <row r="5" spans="1:12" ht="9.75" customHeight="1">
      <c r="A5" s="293"/>
      <c r="B5" s="293"/>
      <c r="C5" s="293"/>
      <c r="D5" s="293"/>
      <c r="E5" s="293"/>
      <c r="F5" s="293"/>
      <c r="G5" s="293"/>
      <c r="L5" s="35" t="s">
        <v>200</v>
      </c>
    </row>
    <row r="6" spans="1:12" s="4" customFormat="1" ht="64.5" customHeight="1">
      <c r="A6" s="294" t="s">
        <v>127</v>
      </c>
      <c r="B6" s="294" t="s">
        <v>47</v>
      </c>
      <c r="C6" s="294" t="s">
        <v>368</v>
      </c>
      <c r="D6" s="269" t="s">
        <v>369</v>
      </c>
      <c r="E6" s="295" t="s">
        <v>370</v>
      </c>
      <c r="F6" s="269" t="s">
        <v>371</v>
      </c>
      <c r="G6" s="269" t="s">
        <v>372</v>
      </c>
      <c r="H6" s="296" t="s">
        <v>373</v>
      </c>
      <c r="I6" s="267"/>
      <c r="J6" s="267"/>
      <c r="K6" s="267"/>
      <c r="L6" s="297"/>
    </row>
    <row r="7" spans="1:12" s="4" customFormat="1" ht="27" customHeight="1">
      <c r="A7" s="294"/>
      <c r="B7" s="294"/>
      <c r="C7" s="294"/>
      <c r="D7" s="266"/>
      <c r="E7" s="295"/>
      <c r="F7" s="266"/>
      <c r="G7" s="266"/>
      <c r="H7" s="211" t="s">
        <v>374</v>
      </c>
      <c r="I7" s="211" t="s">
        <v>410</v>
      </c>
      <c r="J7" s="211" t="s">
        <v>375</v>
      </c>
      <c r="K7" s="211" t="s">
        <v>376</v>
      </c>
      <c r="L7" s="211" t="s">
        <v>377</v>
      </c>
    </row>
    <row r="8" spans="1:12" ht="12.75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</row>
    <row r="9" spans="1:14" ht="24.75" customHeight="1">
      <c r="A9" s="59">
        <v>1</v>
      </c>
      <c r="B9" s="60" t="s">
        <v>114</v>
      </c>
      <c r="C9" s="60" t="s">
        <v>115</v>
      </c>
      <c r="D9" s="61" t="s">
        <v>378</v>
      </c>
      <c r="E9" s="62" t="s">
        <v>379</v>
      </c>
      <c r="F9" s="61" t="s">
        <v>380</v>
      </c>
      <c r="G9" s="67">
        <v>1345000</v>
      </c>
      <c r="H9" s="67">
        <v>1199412</v>
      </c>
      <c r="I9" s="67">
        <v>14604.35</v>
      </c>
      <c r="J9" s="68"/>
      <c r="K9" s="68"/>
      <c r="L9" s="68"/>
      <c r="M9" s="7"/>
      <c r="N9" s="7"/>
    </row>
    <row r="10" spans="1:14" ht="12.75">
      <c r="A10" s="59">
        <v>2</v>
      </c>
      <c r="B10" s="61">
        <v>600</v>
      </c>
      <c r="C10" s="61">
        <v>60014</v>
      </c>
      <c r="D10" s="64" t="s">
        <v>381</v>
      </c>
      <c r="E10" s="62" t="s">
        <v>382</v>
      </c>
      <c r="F10" s="61">
        <v>2010</v>
      </c>
      <c r="G10" s="67">
        <v>211000</v>
      </c>
      <c r="H10" s="67">
        <v>211000</v>
      </c>
      <c r="I10" s="67">
        <v>196.92</v>
      </c>
      <c r="J10" s="68"/>
      <c r="K10" s="68"/>
      <c r="L10" s="68"/>
      <c r="M10" s="7"/>
      <c r="N10" s="7"/>
    </row>
    <row r="11" spans="1:14" ht="25.5">
      <c r="A11" s="59">
        <v>3</v>
      </c>
      <c r="B11" s="61">
        <v>630</v>
      </c>
      <c r="C11" s="61">
        <v>63003</v>
      </c>
      <c r="D11" s="64" t="s">
        <v>383</v>
      </c>
      <c r="E11" s="62" t="s">
        <v>384</v>
      </c>
      <c r="F11" s="61" t="s">
        <v>385</v>
      </c>
      <c r="G11" s="67">
        <f>10805550</f>
        <v>10805550</v>
      </c>
      <c r="H11" s="67">
        <f>7896547</f>
        <v>7896547</v>
      </c>
      <c r="I11" s="67">
        <v>3278953.13</v>
      </c>
      <c r="J11" s="68">
        <v>2632671</v>
      </c>
      <c r="K11" s="68"/>
      <c r="L11" s="68"/>
      <c r="M11" s="7"/>
      <c r="N11" s="7"/>
    </row>
    <row r="12" spans="1:14" ht="12.75">
      <c r="A12" s="59">
        <v>4</v>
      </c>
      <c r="B12" s="61">
        <v>630</v>
      </c>
      <c r="C12" s="61">
        <v>63003</v>
      </c>
      <c r="D12" s="61" t="s">
        <v>386</v>
      </c>
      <c r="E12" s="53" t="s">
        <v>387</v>
      </c>
      <c r="F12" s="61" t="s">
        <v>388</v>
      </c>
      <c r="G12" s="67">
        <v>595000</v>
      </c>
      <c r="H12" s="67">
        <v>540000</v>
      </c>
      <c r="I12" s="67">
        <v>511233.57</v>
      </c>
      <c r="J12" s="68"/>
      <c r="K12" s="68"/>
      <c r="L12" s="68"/>
      <c r="M12" s="7"/>
      <c r="N12" s="7"/>
    </row>
    <row r="13" spans="1:14" s="34" customFormat="1" ht="30" customHeight="1">
      <c r="A13" s="59">
        <v>5</v>
      </c>
      <c r="B13" s="13">
        <v>750</v>
      </c>
      <c r="C13" s="13">
        <v>75023</v>
      </c>
      <c r="D13" s="65" t="s">
        <v>389</v>
      </c>
      <c r="E13" s="18" t="s">
        <v>390</v>
      </c>
      <c r="F13" s="13" t="s">
        <v>391</v>
      </c>
      <c r="G13" s="68">
        <v>550000</v>
      </c>
      <c r="H13" s="68">
        <v>95000</v>
      </c>
      <c r="I13" s="68">
        <v>0</v>
      </c>
      <c r="J13" s="68">
        <v>390000</v>
      </c>
      <c r="K13" s="68"/>
      <c r="L13" s="68"/>
      <c r="M13" s="7"/>
      <c r="N13" s="7"/>
    </row>
    <row r="14" spans="1:14" ht="25.5">
      <c r="A14" s="59">
        <v>6</v>
      </c>
      <c r="B14" s="15">
        <v>750</v>
      </c>
      <c r="C14" s="15">
        <v>75095</v>
      </c>
      <c r="D14" s="65" t="s">
        <v>389</v>
      </c>
      <c r="E14" s="18" t="s">
        <v>392</v>
      </c>
      <c r="F14" s="13" t="s">
        <v>393</v>
      </c>
      <c r="G14" s="68">
        <v>692936</v>
      </c>
      <c r="H14" s="68">
        <v>498846</v>
      </c>
      <c r="I14" s="68">
        <v>102.12</v>
      </c>
      <c r="J14" s="68">
        <v>74172</v>
      </c>
      <c r="K14" s="68">
        <v>74172</v>
      </c>
      <c r="L14" s="68">
        <v>39729</v>
      </c>
      <c r="M14" s="7"/>
      <c r="N14" s="7"/>
    </row>
    <row r="15" spans="1:15" ht="38.25">
      <c r="A15" s="59">
        <v>7</v>
      </c>
      <c r="B15" s="61">
        <v>754</v>
      </c>
      <c r="C15" s="61">
        <v>75412</v>
      </c>
      <c r="D15" s="66" t="s">
        <v>394</v>
      </c>
      <c r="E15" s="62" t="s">
        <v>395</v>
      </c>
      <c r="F15" s="61" t="s">
        <v>396</v>
      </c>
      <c r="G15" s="67">
        <v>1400000</v>
      </c>
      <c r="H15" s="67">
        <v>1108531.08</v>
      </c>
      <c r="I15" s="67">
        <v>0</v>
      </c>
      <c r="J15" s="67">
        <v>291468.92</v>
      </c>
      <c r="K15" s="67">
        <v>0</v>
      </c>
      <c r="L15" s="67">
        <v>0</v>
      </c>
      <c r="M15" s="7"/>
      <c r="N15" s="7"/>
      <c r="O15" s="7"/>
    </row>
    <row r="16" spans="1:15" ht="38.25">
      <c r="A16" s="59">
        <v>8</v>
      </c>
      <c r="B16" s="61">
        <v>801</v>
      </c>
      <c r="C16" s="61">
        <v>80110</v>
      </c>
      <c r="D16" s="40" t="s">
        <v>397</v>
      </c>
      <c r="E16" s="62" t="s">
        <v>398</v>
      </c>
      <c r="F16" s="61" t="s">
        <v>399</v>
      </c>
      <c r="G16" s="67">
        <v>671440</v>
      </c>
      <c r="H16" s="67">
        <v>114040</v>
      </c>
      <c r="I16" s="67">
        <v>23912</v>
      </c>
      <c r="J16" s="67">
        <v>0</v>
      </c>
      <c r="K16" s="67">
        <v>0</v>
      </c>
      <c r="L16" s="67">
        <v>0</v>
      </c>
      <c r="M16" s="7"/>
      <c r="N16" s="7"/>
      <c r="O16" s="7"/>
    </row>
    <row r="17" spans="1:14" ht="25.5">
      <c r="A17" s="59">
        <v>9</v>
      </c>
      <c r="B17" s="15">
        <v>853</v>
      </c>
      <c r="C17" s="15">
        <v>85395</v>
      </c>
      <c r="D17" s="61" t="s">
        <v>400</v>
      </c>
      <c r="E17" s="18" t="s">
        <v>401</v>
      </c>
      <c r="F17" s="13" t="s">
        <v>402</v>
      </c>
      <c r="G17" s="68">
        <v>550000</v>
      </c>
      <c r="H17" s="68">
        <v>117197</v>
      </c>
      <c r="I17" s="68">
        <v>38217.42</v>
      </c>
      <c r="J17" s="68">
        <v>100000</v>
      </c>
      <c r="K17" s="68">
        <v>100000</v>
      </c>
      <c r="L17" s="68">
        <v>100000</v>
      </c>
      <c r="M17" s="7"/>
      <c r="N17" s="7"/>
    </row>
    <row r="18" spans="1:14" ht="12.75">
      <c r="A18" s="59">
        <v>10</v>
      </c>
      <c r="B18" s="15">
        <v>853</v>
      </c>
      <c r="C18" s="15">
        <v>85395</v>
      </c>
      <c r="D18" s="61" t="s">
        <v>400</v>
      </c>
      <c r="E18" s="18" t="s">
        <v>403</v>
      </c>
      <c r="F18" s="13">
        <v>2010</v>
      </c>
      <c r="G18" s="68">
        <v>50000</v>
      </c>
      <c r="H18" s="68">
        <v>50000</v>
      </c>
      <c r="I18" s="68">
        <v>49868.09</v>
      </c>
      <c r="J18" s="68">
        <v>0</v>
      </c>
      <c r="K18" s="68">
        <v>0</v>
      </c>
      <c r="L18" s="68">
        <v>0</v>
      </c>
      <c r="M18" s="7"/>
      <c r="N18" s="7"/>
    </row>
    <row r="19" spans="1:16" ht="12.75">
      <c r="A19" s="59">
        <v>11</v>
      </c>
      <c r="B19" s="15">
        <v>853</v>
      </c>
      <c r="C19" s="15">
        <v>85395</v>
      </c>
      <c r="D19" s="61" t="s">
        <v>400</v>
      </c>
      <c r="E19" s="18" t="s">
        <v>404</v>
      </c>
      <c r="F19" s="13">
        <v>2010</v>
      </c>
      <c r="G19" s="68">
        <v>49997</v>
      </c>
      <c r="H19" s="68">
        <v>49997</v>
      </c>
      <c r="I19" s="68">
        <v>0</v>
      </c>
      <c r="J19" s="68">
        <v>0</v>
      </c>
      <c r="K19" s="68">
        <v>0</v>
      </c>
      <c r="L19" s="68">
        <v>0</v>
      </c>
      <c r="M19" s="7"/>
      <c r="N19" s="7"/>
      <c r="P19" s="7"/>
    </row>
    <row r="20" spans="1:16" ht="38.25">
      <c r="A20" s="59">
        <v>11</v>
      </c>
      <c r="B20" s="15">
        <v>853</v>
      </c>
      <c r="C20" s="15">
        <v>85395</v>
      </c>
      <c r="D20" s="61" t="s">
        <v>400</v>
      </c>
      <c r="E20" s="18" t="s">
        <v>405</v>
      </c>
      <c r="F20" s="13">
        <v>2010</v>
      </c>
      <c r="G20" s="68">
        <v>49999</v>
      </c>
      <c r="H20" s="68">
        <v>49999</v>
      </c>
      <c r="I20" s="68">
        <f>42499.15+7499.85</f>
        <v>49999</v>
      </c>
      <c r="J20" s="68">
        <v>0</v>
      </c>
      <c r="K20" s="68">
        <v>0</v>
      </c>
      <c r="L20" s="68">
        <v>0</v>
      </c>
      <c r="M20" s="7"/>
      <c r="N20" s="7"/>
      <c r="P20" s="7"/>
    </row>
    <row r="21" spans="1:14" ht="38.25">
      <c r="A21" s="59">
        <v>12</v>
      </c>
      <c r="B21" s="15">
        <v>853</v>
      </c>
      <c r="C21" s="15">
        <v>85395</v>
      </c>
      <c r="D21" s="61" t="s">
        <v>400</v>
      </c>
      <c r="E21" s="18" t="s">
        <v>406</v>
      </c>
      <c r="F21" s="13">
        <v>2010</v>
      </c>
      <c r="G21" s="68">
        <v>42695</v>
      </c>
      <c r="H21" s="68">
        <v>42695</v>
      </c>
      <c r="I21" s="68">
        <v>42603.47</v>
      </c>
      <c r="J21" s="68">
        <v>0</v>
      </c>
      <c r="K21" s="68">
        <v>0</v>
      </c>
      <c r="L21" s="68">
        <v>0</v>
      </c>
      <c r="M21" s="7"/>
      <c r="N21" s="7"/>
    </row>
    <row r="22" spans="1:16" s="34" customFormat="1" ht="38.25">
      <c r="A22" s="59">
        <v>13</v>
      </c>
      <c r="B22" s="61">
        <v>900</v>
      </c>
      <c r="C22" s="61">
        <v>90001</v>
      </c>
      <c r="D22" s="64" t="s">
        <v>386</v>
      </c>
      <c r="E22" s="62" t="s">
        <v>407</v>
      </c>
      <c r="F22" s="61" t="s">
        <v>408</v>
      </c>
      <c r="G22" s="67">
        <v>5200000</v>
      </c>
      <c r="H22" s="67">
        <v>3511000</v>
      </c>
      <c r="I22" s="67">
        <f>209.92+64.65</f>
        <v>274.57</v>
      </c>
      <c r="J22" s="67">
        <v>475000</v>
      </c>
      <c r="K22" s="67">
        <v>1000000</v>
      </c>
      <c r="L22" s="68"/>
      <c r="M22" s="7"/>
      <c r="N22" s="7"/>
      <c r="P22" s="44"/>
    </row>
    <row r="23" spans="1:14" ht="38.25">
      <c r="A23" s="59">
        <v>14</v>
      </c>
      <c r="B23" s="61">
        <v>926</v>
      </c>
      <c r="C23" s="61">
        <v>92601</v>
      </c>
      <c r="D23" s="64" t="s">
        <v>386</v>
      </c>
      <c r="E23" s="62" t="s">
        <v>409</v>
      </c>
      <c r="F23" s="61" t="s">
        <v>396</v>
      </c>
      <c r="G23" s="67">
        <v>1100000</v>
      </c>
      <c r="H23" s="67">
        <v>1000000</v>
      </c>
      <c r="I23" s="67">
        <v>15582.03</v>
      </c>
      <c r="J23" s="67">
        <v>100000</v>
      </c>
      <c r="K23" s="67">
        <v>0</v>
      </c>
      <c r="L23" s="67">
        <v>0</v>
      </c>
      <c r="M23" s="7"/>
      <c r="N23" s="7"/>
    </row>
    <row r="24" spans="7:12" ht="12.75">
      <c r="G24" s="69">
        <f aca="true" t="shared" si="0" ref="G24:L24">SUM(G9:G23)</f>
        <v>23313617</v>
      </c>
      <c r="H24" s="69">
        <f t="shared" si="0"/>
        <v>16484264.08</v>
      </c>
      <c r="I24" s="69">
        <f t="shared" si="0"/>
        <v>4025546.6699999995</v>
      </c>
      <c r="J24" s="69">
        <f t="shared" si="0"/>
        <v>4063311.92</v>
      </c>
      <c r="K24" s="69">
        <f t="shared" si="0"/>
        <v>1174172</v>
      </c>
      <c r="L24" s="69">
        <f t="shared" si="0"/>
        <v>139729</v>
      </c>
    </row>
    <row r="25" spans="1:5" ht="12.75">
      <c r="A25" s="291"/>
      <c r="B25" s="291"/>
      <c r="C25" s="291"/>
      <c r="D25" s="291"/>
      <c r="E25" s="291"/>
    </row>
  </sheetData>
  <sheetProtection/>
  <mergeCells count="11">
    <mergeCell ref="H6:L6"/>
    <mergeCell ref="A25:E25"/>
    <mergeCell ref="A1:H4"/>
    <mergeCell ref="A5:G5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28">
      <selection activeCell="A12" sqref="A12:IV13"/>
    </sheetView>
  </sheetViews>
  <sheetFormatPr defaultColWidth="9.00390625" defaultRowHeight="12.75"/>
  <cols>
    <col min="1" max="1" width="4.00390625" style="34" customWidth="1"/>
    <col min="2" max="2" width="8.125" style="34" customWidth="1"/>
    <col min="3" max="3" width="41.875" style="34" customWidth="1"/>
    <col min="4" max="4" width="10.75390625" style="34" customWidth="1"/>
    <col min="5" max="5" width="16.75390625" style="34" customWidth="1"/>
    <col min="6" max="6" width="11.25390625" style="34" customWidth="1"/>
    <col min="7" max="7" width="10.375" style="41" customWidth="1"/>
    <col min="8" max="16384" width="9.125" style="34" customWidth="1"/>
  </cols>
  <sheetData>
    <row r="1" ht="13.5" customHeight="1">
      <c r="F1" s="188" t="s">
        <v>654</v>
      </c>
    </row>
    <row r="2" ht="13.5" customHeight="1">
      <c r="F2" s="52" t="s">
        <v>605</v>
      </c>
    </row>
    <row r="3" spans="1:6" ht="13.5" customHeight="1">
      <c r="A3" s="299" t="s">
        <v>213</v>
      </c>
      <c r="B3" s="299"/>
      <c r="C3" s="299"/>
      <c r="D3" s="299"/>
      <c r="E3" s="299"/>
      <c r="F3" s="299"/>
    </row>
    <row r="4" spans="1:6" ht="13.5" customHeight="1">
      <c r="A4" s="33"/>
      <c r="B4" s="33"/>
      <c r="C4" s="33"/>
      <c r="D4" s="33"/>
      <c r="E4" s="33"/>
      <c r="F4" s="33"/>
    </row>
    <row r="5" spans="1:6" ht="13.5" customHeight="1">
      <c r="A5" s="189" t="s">
        <v>47</v>
      </c>
      <c r="B5" s="189" t="s">
        <v>51</v>
      </c>
      <c r="C5" s="189" t="s">
        <v>607</v>
      </c>
      <c r="D5" s="190" t="s">
        <v>129</v>
      </c>
      <c r="E5" s="191" t="s">
        <v>70</v>
      </c>
      <c r="F5" s="191" t="s">
        <v>655</v>
      </c>
    </row>
    <row r="6" spans="1:6" ht="13.5" customHeight="1">
      <c r="A6" s="192" t="s">
        <v>362</v>
      </c>
      <c r="B6" s="192" t="s">
        <v>5</v>
      </c>
      <c r="C6" s="193" t="s">
        <v>656</v>
      </c>
      <c r="D6" s="194">
        <v>84996.6</v>
      </c>
      <c r="E6" s="195">
        <v>42499.15</v>
      </c>
      <c r="F6" s="198">
        <f>E6/D6</f>
        <v>0.500010000400016</v>
      </c>
    </row>
    <row r="7" spans="1:6" ht="13.5" customHeight="1">
      <c r="A7" s="192" t="s">
        <v>362</v>
      </c>
      <c r="B7" s="192" t="s">
        <v>5</v>
      </c>
      <c r="C7" s="193" t="s">
        <v>657</v>
      </c>
      <c r="D7" s="194">
        <v>14999.4</v>
      </c>
      <c r="E7" s="195">
        <v>7499.85</v>
      </c>
      <c r="F7" s="198">
        <f>E7/D7</f>
        <v>0.5000100004000161</v>
      </c>
    </row>
    <row r="8" spans="1:6" ht="13.5" customHeight="1">
      <c r="A8" s="192" t="s">
        <v>32</v>
      </c>
      <c r="B8" s="192" t="s">
        <v>363</v>
      </c>
      <c r="C8" s="193" t="s">
        <v>658</v>
      </c>
      <c r="D8" s="194">
        <v>333900</v>
      </c>
      <c r="E8" s="195">
        <v>185000</v>
      </c>
      <c r="F8" s="198">
        <f>E8/D8</f>
        <v>0.5540581012279125</v>
      </c>
    </row>
    <row r="9" spans="1:6" ht="13.5" customHeight="1">
      <c r="A9" s="192" t="s">
        <v>32</v>
      </c>
      <c r="B9" s="192" t="s">
        <v>364</v>
      </c>
      <c r="C9" s="193" t="s">
        <v>659</v>
      </c>
      <c r="D9" s="194">
        <v>80000</v>
      </c>
      <c r="E9" s="195">
        <v>39062.59</v>
      </c>
      <c r="F9" s="198">
        <f>E9/D9</f>
        <v>0.48828237499999994</v>
      </c>
    </row>
    <row r="10" spans="1:6" ht="13.5" customHeight="1">
      <c r="A10" s="300" t="s">
        <v>660</v>
      </c>
      <c r="B10" s="301"/>
      <c r="C10" s="302"/>
      <c r="D10" s="197">
        <f>SUM(D6:D9)</f>
        <v>513896</v>
      </c>
      <c r="E10" s="197">
        <f>SUM(E6:E9)</f>
        <v>274061.58999999997</v>
      </c>
      <c r="F10" s="198">
        <f>E10/D10</f>
        <v>0.5333016602581067</v>
      </c>
    </row>
    <row r="11" spans="1:6" ht="13.5" customHeight="1">
      <c r="A11" s="196"/>
      <c r="B11" s="196"/>
      <c r="C11" s="196"/>
      <c r="D11" s="196"/>
      <c r="E11" s="196"/>
      <c r="F11" s="196"/>
    </row>
    <row r="12" ht="13.5" customHeight="1"/>
    <row r="13" spans="1:6" ht="35.25" customHeight="1">
      <c r="A13" s="303" t="s">
        <v>653</v>
      </c>
      <c r="B13" s="303"/>
      <c r="C13" s="303"/>
      <c r="D13" s="303"/>
      <c r="E13" s="303"/>
      <c r="F13" s="303"/>
    </row>
    <row r="14" spans="1:6" ht="13.5" customHeight="1">
      <c r="A14" s="33"/>
      <c r="B14" s="33"/>
      <c r="C14" s="33"/>
      <c r="D14" s="33"/>
      <c r="E14" s="33"/>
      <c r="F14" s="35" t="s">
        <v>200</v>
      </c>
    </row>
    <row r="15" spans="1:6" ht="13.5" customHeight="1">
      <c r="A15" s="61" t="s">
        <v>47</v>
      </c>
      <c r="B15" s="61" t="s">
        <v>51</v>
      </c>
      <c r="C15" s="61" t="s">
        <v>201</v>
      </c>
      <c r="D15" s="65" t="s">
        <v>129</v>
      </c>
      <c r="E15" s="65" t="s">
        <v>70</v>
      </c>
      <c r="F15" s="191" t="s">
        <v>655</v>
      </c>
    </row>
    <row r="16" spans="1:6" ht="13.5" customHeight="1">
      <c r="A16" s="6">
        <v>921</v>
      </c>
      <c r="B16" s="6">
        <v>92109</v>
      </c>
      <c r="C16" s="199" t="s">
        <v>210</v>
      </c>
      <c r="D16" s="39">
        <f>SUM(D17:D18)</f>
        <v>570000</v>
      </c>
      <c r="E16" s="39">
        <f>SUM(E17:E18)</f>
        <v>140000</v>
      </c>
      <c r="F16" s="198">
        <f>E16/D16</f>
        <v>0.24561403508771928</v>
      </c>
    </row>
    <row r="17" spans="1:6" ht="13.5" customHeight="1">
      <c r="A17" s="15"/>
      <c r="B17" s="21"/>
      <c r="C17" s="43" t="s">
        <v>211</v>
      </c>
      <c r="D17" s="200">
        <v>420000</v>
      </c>
      <c r="E17" s="200">
        <v>40000</v>
      </c>
      <c r="F17" s="198">
        <f>E17/D17</f>
        <v>0.09523809523809523</v>
      </c>
    </row>
    <row r="18" spans="1:6" ht="13.5" customHeight="1">
      <c r="A18" s="15"/>
      <c r="B18" s="21"/>
      <c r="C18" s="43" t="s">
        <v>212</v>
      </c>
      <c r="D18" s="201">
        <v>150000</v>
      </c>
      <c r="E18" s="201">
        <v>100000</v>
      </c>
      <c r="F18" s="198">
        <f>E18/D18</f>
        <v>0.6666666666666666</v>
      </c>
    </row>
    <row r="19" spans="1:6" ht="13.5" customHeight="1">
      <c r="A19" s="304" t="s">
        <v>660</v>
      </c>
      <c r="B19" s="305"/>
      <c r="C19" s="306"/>
      <c r="D19" s="39">
        <f>D16</f>
        <v>570000</v>
      </c>
      <c r="E19" s="39">
        <f>E16</f>
        <v>140000</v>
      </c>
      <c r="F19" s="198">
        <f>E19/D19</f>
        <v>0.24561403508771928</v>
      </c>
    </row>
    <row r="20" spans="1:6" ht="13.5" customHeight="1">
      <c r="A20" s="196"/>
      <c r="B20" s="196"/>
      <c r="C20" s="196"/>
      <c r="D20" s="196"/>
      <c r="E20" s="196"/>
      <c r="F20" s="196"/>
    </row>
    <row r="21" spans="1:6" ht="13.5" customHeight="1">
      <c r="A21" s="196"/>
      <c r="B21" s="196"/>
      <c r="C21" s="196"/>
      <c r="D21" s="196"/>
      <c r="E21" s="196"/>
      <c r="F21" s="196"/>
    </row>
    <row r="22" spans="1:6" ht="13.5" customHeight="1">
      <c r="A22" s="299" t="s">
        <v>661</v>
      </c>
      <c r="B22" s="299"/>
      <c r="C22" s="299"/>
      <c r="D22" s="299"/>
      <c r="E22" s="299"/>
      <c r="F22" s="299"/>
    </row>
    <row r="23" spans="1:6" ht="13.5" customHeight="1">
      <c r="A23" s="298"/>
      <c r="B23" s="298"/>
      <c r="C23" s="298"/>
      <c r="D23" s="298"/>
      <c r="E23" s="196"/>
      <c r="F23" s="196"/>
    </row>
    <row r="24" spans="1:6" ht="13.5" customHeight="1">
      <c r="A24" s="189" t="s">
        <v>47</v>
      </c>
      <c r="B24" s="189" t="s">
        <v>51</v>
      </c>
      <c r="C24" s="189" t="s">
        <v>607</v>
      </c>
      <c r="D24" s="190" t="s">
        <v>129</v>
      </c>
      <c r="E24" s="202" t="s">
        <v>70</v>
      </c>
      <c r="F24" s="202" t="s">
        <v>655</v>
      </c>
    </row>
    <row r="25" spans="1:6" ht="13.5" customHeight="1">
      <c r="A25" s="203" t="s">
        <v>6</v>
      </c>
      <c r="B25" s="203" t="s">
        <v>8</v>
      </c>
      <c r="C25" s="204" t="s">
        <v>202</v>
      </c>
      <c r="D25" s="205">
        <v>29000</v>
      </c>
      <c r="E25" s="206">
        <v>991</v>
      </c>
      <c r="F25" s="207">
        <f aca="true" t="shared" si="0" ref="F25:F37">E25/D25</f>
        <v>0.03417241379310345</v>
      </c>
    </row>
    <row r="26" spans="1:6" ht="13.5" customHeight="1">
      <c r="A26" s="192" t="s">
        <v>17</v>
      </c>
      <c r="B26" s="192" t="s">
        <v>203</v>
      </c>
      <c r="C26" s="204" t="s">
        <v>662</v>
      </c>
      <c r="D26" s="205">
        <v>1300</v>
      </c>
      <c r="E26" s="206">
        <v>0</v>
      </c>
      <c r="F26" s="207">
        <f t="shared" si="0"/>
        <v>0</v>
      </c>
    </row>
    <row r="27" spans="1:6" ht="13.5" customHeight="1">
      <c r="A27" s="192" t="s">
        <v>17</v>
      </c>
      <c r="B27" s="192" t="s">
        <v>203</v>
      </c>
      <c r="C27" s="204" t="s">
        <v>663</v>
      </c>
      <c r="D27" s="205">
        <v>13700</v>
      </c>
      <c r="E27" s="206">
        <v>13700</v>
      </c>
      <c r="F27" s="207">
        <f t="shared" si="0"/>
        <v>1</v>
      </c>
    </row>
    <row r="28" spans="1:6" ht="13.5" customHeight="1">
      <c r="A28" s="192" t="s">
        <v>19</v>
      </c>
      <c r="B28" s="192" t="s">
        <v>357</v>
      </c>
      <c r="C28" s="204" t="s">
        <v>664</v>
      </c>
      <c r="D28" s="205">
        <v>20000</v>
      </c>
      <c r="E28" s="206">
        <v>0</v>
      </c>
      <c r="F28" s="207">
        <f t="shared" si="0"/>
        <v>0</v>
      </c>
    </row>
    <row r="29" spans="1:6" ht="13.5" customHeight="1">
      <c r="A29" s="192" t="s">
        <v>21</v>
      </c>
      <c r="B29" s="192" t="s">
        <v>195</v>
      </c>
      <c r="C29" s="204" t="s">
        <v>665</v>
      </c>
      <c r="D29" s="205">
        <v>600000</v>
      </c>
      <c r="E29" s="206">
        <v>0</v>
      </c>
      <c r="F29" s="207">
        <f t="shared" si="0"/>
        <v>0</v>
      </c>
    </row>
    <row r="30" spans="1:6" ht="13.5" customHeight="1">
      <c r="A30" s="192" t="s">
        <v>26</v>
      </c>
      <c r="B30" s="192" t="s">
        <v>204</v>
      </c>
      <c r="C30" s="204" t="s">
        <v>205</v>
      </c>
      <c r="D30" s="205">
        <v>23500</v>
      </c>
      <c r="E30" s="206">
        <v>14100</v>
      </c>
      <c r="F30" s="207">
        <f t="shared" si="0"/>
        <v>0.6</v>
      </c>
    </row>
    <row r="31" spans="1:6" ht="13.5" customHeight="1">
      <c r="A31" s="192" t="s">
        <v>32</v>
      </c>
      <c r="B31" s="192" t="s">
        <v>358</v>
      </c>
      <c r="C31" s="204" t="s">
        <v>359</v>
      </c>
      <c r="D31" s="205">
        <v>100000</v>
      </c>
      <c r="E31" s="206">
        <v>100000</v>
      </c>
      <c r="F31" s="207">
        <f t="shared" si="0"/>
        <v>1</v>
      </c>
    </row>
    <row r="32" spans="1:6" ht="13.5" customHeight="1">
      <c r="A32" s="192" t="s">
        <v>33</v>
      </c>
      <c r="B32" s="192" t="s">
        <v>206</v>
      </c>
      <c r="C32" s="204" t="s">
        <v>666</v>
      </c>
      <c r="D32" s="205">
        <v>26000</v>
      </c>
      <c r="E32" s="206">
        <v>18000</v>
      </c>
      <c r="F32" s="207">
        <f t="shared" si="0"/>
        <v>0.6923076923076923</v>
      </c>
    </row>
    <row r="33" spans="1:6" ht="13.5" customHeight="1">
      <c r="A33" s="208" t="s">
        <v>33</v>
      </c>
      <c r="B33" s="192" t="s">
        <v>206</v>
      </c>
      <c r="C33" s="204" t="s">
        <v>667</v>
      </c>
      <c r="D33" s="205">
        <v>25000</v>
      </c>
      <c r="E33" s="206">
        <v>12000</v>
      </c>
      <c r="F33" s="207">
        <f t="shared" si="0"/>
        <v>0.48</v>
      </c>
    </row>
    <row r="34" spans="1:6" ht="13.5" customHeight="1">
      <c r="A34" s="192" t="s">
        <v>33</v>
      </c>
      <c r="B34" s="192" t="s">
        <v>206</v>
      </c>
      <c r="C34" s="193" t="s">
        <v>668</v>
      </c>
      <c r="D34" s="209">
        <v>20000</v>
      </c>
      <c r="E34" s="206">
        <v>14000</v>
      </c>
      <c r="F34" s="207">
        <f t="shared" si="0"/>
        <v>0.7</v>
      </c>
    </row>
    <row r="35" spans="1:6" ht="13.5" customHeight="1">
      <c r="A35" s="192" t="s">
        <v>33</v>
      </c>
      <c r="B35" s="192" t="s">
        <v>360</v>
      </c>
      <c r="C35" s="193" t="s">
        <v>669</v>
      </c>
      <c r="D35" s="209">
        <v>27500</v>
      </c>
      <c r="E35" s="206">
        <v>8000</v>
      </c>
      <c r="F35" s="207">
        <f t="shared" si="0"/>
        <v>0.2909090909090909</v>
      </c>
    </row>
    <row r="36" spans="1:6" ht="13.5" customHeight="1">
      <c r="A36" s="208" t="s">
        <v>33</v>
      </c>
      <c r="B36" s="192" t="s">
        <v>360</v>
      </c>
      <c r="C36" s="204" t="s">
        <v>670</v>
      </c>
      <c r="D36" s="205">
        <v>7000</v>
      </c>
      <c r="E36" s="206">
        <v>0</v>
      </c>
      <c r="F36" s="207">
        <f t="shared" si="0"/>
        <v>0</v>
      </c>
    </row>
    <row r="37" spans="1:6" ht="13.5" customHeight="1">
      <c r="A37" s="196"/>
      <c r="B37" s="196"/>
      <c r="C37" s="196"/>
      <c r="D37" s="210">
        <f>SUM(D25:D36)</f>
        <v>893000</v>
      </c>
      <c r="E37" s="210">
        <f>SUM(E25:E36)</f>
        <v>180791</v>
      </c>
      <c r="F37" s="207">
        <f t="shared" si="0"/>
        <v>0.2024535274356103</v>
      </c>
    </row>
    <row r="38" spans="1:6" ht="13.5" customHeight="1">
      <c r="A38" s="196"/>
      <c r="B38" s="196"/>
      <c r="C38" s="196"/>
      <c r="D38" s="196"/>
      <c r="E38" s="196"/>
      <c r="F38" s="196"/>
    </row>
    <row r="39" spans="1:6" ht="13.5" customHeight="1">
      <c r="A39" s="299" t="s">
        <v>671</v>
      </c>
      <c r="B39" s="299"/>
      <c r="C39" s="299"/>
      <c r="D39" s="299"/>
      <c r="E39" s="299"/>
      <c r="F39" s="299"/>
    </row>
    <row r="40" spans="1:6" ht="13.5" customHeight="1">
      <c r="A40" s="298"/>
      <c r="B40" s="298"/>
      <c r="C40" s="298"/>
      <c r="D40" s="298"/>
      <c r="E40" s="196"/>
      <c r="F40" s="196"/>
    </row>
    <row r="41" spans="1:6" ht="13.5" customHeight="1">
      <c r="A41" s="189" t="s">
        <v>47</v>
      </c>
      <c r="B41" s="189" t="s">
        <v>51</v>
      </c>
      <c r="C41" s="189" t="s">
        <v>607</v>
      </c>
      <c r="D41" s="190" t="s">
        <v>129</v>
      </c>
      <c r="E41" s="202" t="s">
        <v>70</v>
      </c>
      <c r="F41" s="202" t="s">
        <v>655</v>
      </c>
    </row>
    <row r="42" spans="1:6" ht="27" customHeight="1">
      <c r="A42" s="192" t="s">
        <v>11</v>
      </c>
      <c r="B42" s="192" t="s">
        <v>547</v>
      </c>
      <c r="C42" s="18" t="s">
        <v>672</v>
      </c>
      <c r="D42" s="205">
        <v>100000</v>
      </c>
      <c r="E42" s="206">
        <v>0</v>
      </c>
      <c r="F42" s="207">
        <f>E42/D42</f>
        <v>0</v>
      </c>
    </row>
    <row r="43" spans="1:6" ht="27" customHeight="1">
      <c r="A43" s="192" t="s">
        <v>581</v>
      </c>
      <c r="B43" s="192" t="s">
        <v>582</v>
      </c>
      <c r="C43" s="18" t="s">
        <v>673</v>
      </c>
      <c r="D43" s="205">
        <v>50000</v>
      </c>
      <c r="E43" s="206">
        <v>0</v>
      </c>
      <c r="F43" s="207">
        <f>E43/D43</f>
        <v>0</v>
      </c>
    </row>
    <row r="44" spans="1:6" ht="13.5" customHeight="1">
      <c r="A44" s="192" t="s">
        <v>95</v>
      </c>
      <c r="B44" s="192" t="s">
        <v>207</v>
      </c>
      <c r="C44" s="18" t="s">
        <v>208</v>
      </c>
      <c r="D44" s="205">
        <v>3750</v>
      </c>
      <c r="E44" s="206">
        <v>3750</v>
      </c>
      <c r="F44" s="207">
        <f>E44/D44</f>
        <v>1</v>
      </c>
    </row>
    <row r="45" spans="1:6" ht="13.5" customHeight="1">
      <c r="A45" s="196"/>
      <c r="B45" s="196"/>
      <c r="C45" s="196"/>
      <c r="D45" s="210">
        <f>SUM(D42:D44)</f>
        <v>153750</v>
      </c>
      <c r="E45" s="210">
        <f>SUM(E42:E44)</f>
        <v>3750</v>
      </c>
      <c r="F45" s="207">
        <f>E45/D45</f>
        <v>0.024390243902439025</v>
      </c>
    </row>
    <row r="46" ht="13.5" customHeight="1"/>
  </sheetData>
  <sheetProtection/>
  <mergeCells count="8">
    <mergeCell ref="A23:D23"/>
    <mergeCell ref="A39:F39"/>
    <mergeCell ref="A40:D40"/>
    <mergeCell ref="A3:F3"/>
    <mergeCell ref="A10:C10"/>
    <mergeCell ref="A13:F13"/>
    <mergeCell ref="A19:C19"/>
    <mergeCell ref="A22:F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Guzikiewicz</dc:creator>
  <cp:keywords/>
  <dc:description/>
  <cp:lastModifiedBy>Pracownik</cp:lastModifiedBy>
  <cp:lastPrinted>2010-08-27T13:18:34Z</cp:lastPrinted>
  <dcterms:created xsi:type="dcterms:W3CDTF">1999-10-09T14:15:17Z</dcterms:created>
  <dcterms:modified xsi:type="dcterms:W3CDTF">2010-08-31T11:37:53Z</dcterms:modified>
  <cp:category/>
  <cp:version/>
  <cp:contentType/>
  <cp:contentStatus/>
</cp:coreProperties>
</file>